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updateLinks="never" codeName="ThisWorkbook"/>
  <mc:AlternateContent xmlns:mc="http://schemas.openxmlformats.org/markup-compatibility/2006">
    <mc:Choice Requires="x15">
      <x15ac:absPath xmlns:x15ac="http://schemas.microsoft.com/office/spreadsheetml/2010/11/ac" url="H:\Budget\Budget Worksheets\FY24\"/>
    </mc:Choice>
  </mc:AlternateContent>
  <xr:revisionPtr revIDLastSave="0" documentId="13_ncr:1_{5D0B3B6C-2267-469B-B189-AC2C2647ADC7}" xr6:coauthVersionLast="36" xr6:coauthVersionMax="47" xr10:uidLastSave="{00000000-0000-0000-0000-000000000000}"/>
  <bookViews>
    <workbookView xWindow="0" yWindow="0" windowWidth="28800" windowHeight="11625" tabRatio="758" firstSheet="1" activeTab="1" xr2:uid="{A82460E5-C26B-4ADA-8093-7C3FBC9BEE44}"/>
  </bookViews>
  <sheets>
    <sheet name="Recovered_Sheet1" sheetId="6" state="veryHidden" r:id="rId1"/>
    <sheet name="Budget Plan " sheetId="23" r:id="rId2"/>
    <sheet name="RHS" sheetId="1" r:id="rId3"/>
    <sheet name="PPS HHS" sheetId="24" r:id="rId4"/>
    <sheet name="DSG" sheetId="41" r:id="rId5"/>
    <sheet name="SEE SEI DSI" sheetId="44" r:id="rId6"/>
    <sheet name="DSP 6 hr Daily" sheetId="48" r:id="rId7"/>
    <sheet name="DSP 10 hr Daily" sheetId="49" r:id="rId8"/>
    <sheet name="DSP Qtr Hr  " sheetId="46" r:id="rId9"/>
    <sheet name="EPR 6 hr Daily" sheetId="54" r:id="rId10"/>
    <sheet name="EPR 10 hr Daily" sheetId="55" r:id="rId11"/>
    <sheet name="EPR Qtr Hr" sheetId="56" r:id="rId12"/>
    <sheet name="Instructions" sheetId="47" r:id="rId13"/>
    <sheet name="rate increase" sheetId="53" state="hidden" r:id="rId14"/>
  </sheets>
  <definedNames>
    <definedName name="_Order1" hidden="1">255</definedName>
    <definedName name="_Order2" hidden="1">255</definedName>
    <definedName name="_xlnm.Print_Area" localSheetId="1">'Budget Plan '!$A$1:$I$28</definedName>
    <definedName name="_xlnm.Print_Area" localSheetId="4">DSG!$A$1:$K$26</definedName>
    <definedName name="_xlnm.Print_Area" localSheetId="7">'DSP 10 hr Daily'!$A$1:$L$26</definedName>
    <definedName name="_xlnm.Print_Area" localSheetId="6">'DSP 6 hr Daily'!$A$1:$L$25</definedName>
    <definedName name="_xlnm.Print_Area" localSheetId="8">'DSP Qtr Hr  '!$A$1:$L$41</definedName>
    <definedName name="_xlnm.Print_Area" localSheetId="10">'EPR 10 hr Daily'!$A$1:$L$26</definedName>
    <definedName name="_xlnm.Print_Area" localSheetId="9">'EPR 6 hr Daily'!$A$1:$L$26</definedName>
    <definedName name="_xlnm.Print_Area" localSheetId="11">'EPR Qtr Hr'!$A$1:$L$41</definedName>
    <definedName name="_xlnm.Print_Area" localSheetId="3">'PPS HHS'!$A$1:$L$41</definedName>
    <definedName name="_xlnm.Print_Area" localSheetId="2">RHS!$A$1:$K$38</definedName>
    <definedName name="Print_Area_MI" localSheetId="4">DSG!$A$1:$J$15</definedName>
    <definedName name="Print_Area_MI" localSheetId="3">'PPS HHS'!$A$1:$J$29</definedName>
    <definedName name="Print_Area_MI" localSheetId="2">RHS!$A$1:$J$25</definedName>
  </definedNames>
  <calcPr calcId="191029"/>
</workbook>
</file>

<file path=xl/calcChain.xml><?xml version="1.0" encoding="utf-8"?>
<calcChain xmlns="http://schemas.openxmlformats.org/spreadsheetml/2006/main">
  <c r="J4" i="1" l="1"/>
  <c r="A57" i="41"/>
  <c r="J4" i="24"/>
  <c r="I18" i="1"/>
  <c r="A37" i="56" l="1"/>
  <c r="A22" i="55"/>
  <c r="A22" i="54"/>
  <c r="A37" i="46"/>
  <c r="A22" i="49"/>
  <c r="A21" i="48"/>
  <c r="A27" i="44"/>
  <c r="A22" i="41"/>
  <c r="A37" i="24"/>
  <c r="A34" i="1"/>
  <c r="J26" i="56" l="1"/>
  <c r="J27" i="56"/>
  <c r="J28" i="56"/>
  <c r="J29" i="56"/>
  <c r="J30" i="56"/>
  <c r="J33" i="56" s="1"/>
  <c r="G33" i="56"/>
  <c r="G34" i="56" s="1"/>
  <c r="D21" i="23"/>
  <c r="J11" i="56"/>
  <c r="J15" i="56" s="1"/>
  <c r="J18" i="56" s="1"/>
  <c r="J17" i="56" s="1"/>
  <c r="J12" i="56"/>
  <c r="J13" i="56"/>
  <c r="G18" i="56"/>
  <c r="G20" i="56" s="1"/>
  <c r="C20" i="23" s="1"/>
  <c r="I8" i="55"/>
  <c r="I9" i="55"/>
  <c r="I10" i="55"/>
  <c r="I11" i="55"/>
  <c r="I8" i="54"/>
  <c r="I12" i="54" s="1"/>
  <c r="H13" i="54" s="1"/>
  <c r="D18" i="23" s="1"/>
  <c r="I9" i="54"/>
  <c r="I10" i="54"/>
  <c r="I11" i="54"/>
  <c r="I8" i="49"/>
  <c r="I9" i="49"/>
  <c r="I10" i="49"/>
  <c r="I11" i="49"/>
  <c r="I8" i="48"/>
  <c r="I9" i="48"/>
  <c r="I10" i="48"/>
  <c r="I11" i="48"/>
  <c r="H8" i="41"/>
  <c r="H9" i="41"/>
  <c r="H10" i="41"/>
  <c r="H11" i="41"/>
  <c r="H8" i="24"/>
  <c r="H9" i="24"/>
  <c r="H11" i="24"/>
  <c r="J14" i="56"/>
  <c r="G18" i="46"/>
  <c r="G20" i="46" s="1"/>
  <c r="C16" i="23" s="1"/>
  <c r="J11" i="46"/>
  <c r="J12" i="46"/>
  <c r="J13" i="46"/>
  <c r="J14" i="46"/>
  <c r="K22" i="44"/>
  <c r="K21" i="44" s="1"/>
  <c r="J8" i="55"/>
  <c r="J9" i="55"/>
  <c r="J10" i="55"/>
  <c r="J11" i="55"/>
  <c r="J12" i="55"/>
  <c r="K8" i="55"/>
  <c r="K12" i="55" s="1"/>
  <c r="K9" i="55"/>
  <c r="K10" i="55"/>
  <c r="K11" i="55"/>
  <c r="J8" i="54"/>
  <c r="J9" i="54"/>
  <c r="J10" i="54"/>
  <c r="J11" i="54"/>
  <c r="K8" i="54"/>
  <c r="K12" i="54" s="1"/>
  <c r="K9" i="54"/>
  <c r="K10" i="54"/>
  <c r="K11" i="54"/>
  <c r="C18" i="23"/>
  <c r="K26" i="56"/>
  <c r="K27" i="56"/>
  <c r="K28" i="56"/>
  <c r="K29" i="56"/>
  <c r="I26" i="56"/>
  <c r="I27" i="56"/>
  <c r="I28" i="56"/>
  <c r="I29" i="56"/>
  <c r="F30" i="56"/>
  <c r="K11" i="56"/>
  <c r="K15" i="56" s="1"/>
  <c r="K12" i="56"/>
  <c r="K13" i="56"/>
  <c r="K14" i="56"/>
  <c r="I11" i="56"/>
  <c r="I12" i="56"/>
  <c r="I13" i="56"/>
  <c r="I14" i="56"/>
  <c r="F15" i="56"/>
  <c r="J5" i="56"/>
  <c r="H5" i="56"/>
  <c r="F5" i="56"/>
  <c r="A5" i="56"/>
  <c r="I1" i="56"/>
  <c r="A1" i="56"/>
  <c r="F12" i="55"/>
  <c r="K4" i="55"/>
  <c r="I4" i="55"/>
  <c r="F4" i="55"/>
  <c r="A4" i="55"/>
  <c r="F12" i="54"/>
  <c r="K4" i="54"/>
  <c r="I4" i="54"/>
  <c r="F4" i="54"/>
  <c r="A4" i="54"/>
  <c r="J26" i="46"/>
  <c r="J27" i="46"/>
  <c r="J28" i="46"/>
  <c r="J29" i="46"/>
  <c r="G33" i="46"/>
  <c r="G35" i="46" s="1"/>
  <c r="C17" i="23" s="1"/>
  <c r="J5" i="46"/>
  <c r="H5" i="46"/>
  <c r="J8" i="49"/>
  <c r="J9" i="49"/>
  <c r="J10" i="49"/>
  <c r="J11" i="49"/>
  <c r="K8" i="49"/>
  <c r="K12" i="49" s="1"/>
  <c r="K9" i="49"/>
  <c r="K10" i="49"/>
  <c r="K11" i="49"/>
  <c r="J8" i="48"/>
  <c r="J9" i="48"/>
  <c r="J10" i="48"/>
  <c r="J11" i="48"/>
  <c r="K8" i="48"/>
  <c r="K12" i="48" s="1"/>
  <c r="K9" i="48"/>
  <c r="K10" i="48"/>
  <c r="K11" i="48"/>
  <c r="I8" i="41"/>
  <c r="I9" i="41"/>
  <c r="I10" i="41"/>
  <c r="I11" i="41"/>
  <c r="I12" i="41" s="1"/>
  <c r="J8" i="41"/>
  <c r="J12" i="41" s="1"/>
  <c r="J9" i="41"/>
  <c r="J10" i="41"/>
  <c r="J11" i="41"/>
  <c r="F9" i="44"/>
  <c r="F24" i="44"/>
  <c r="L14" i="44"/>
  <c r="B24" i="44"/>
  <c r="D24" i="44" s="1"/>
  <c r="G24" i="44" s="1"/>
  <c r="A2" i="44"/>
  <c r="I8" i="24"/>
  <c r="I9" i="24"/>
  <c r="J22" i="24"/>
  <c r="J25" i="24"/>
  <c r="E14" i="24"/>
  <c r="J8" i="24"/>
  <c r="J9" i="24"/>
  <c r="A2" i="24"/>
  <c r="A2" i="41"/>
  <c r="A2" i="1"/>
  <c r="I12" i="1"/>
  <c r="I13" i="1"/>
  <c r="I14" i="1"/>
  <c r="I15" i="1"/>
  <c r="I11" i="1"/>
  <c r="I16" i="1"/>
  <c r="I19" i="1"/>
  <c r="I22" i="1"/>
  <c r="J13" i="1"/>
  <c r="J11" i="1"/>
  <c r="J12" i="1"/>
  <c r="J23" i="1" s="1"/>
  <c r="J14" i="1"/>
  <c r="J15" i="1"/>
  <c r="J16" i="1"/>
  <c r="G7" i="1"/>
  <c r="G8" i="1" s="1"/>
  <c r="H29" i="1" s="1"/>
  <c r="D11" i="24"/>
  <c r="I11" i="24" s="1"/>
  <c r="K4" i="48"/>
  <c r="I4" i="48"/>
  <c r="F4" i="48"/>
  <c r="A4" i="48"/>
  <c r="F12" i="48"/>
  <c r="F12" i="49"/>
  <c r="K4" i="49"/>
  <c r="I4" i="49"/>
  <c r="F4" i="49"/>
  <c r="A4" i="49"/>
  <c r="L5" i="44"/>
  <c r="J5" i="44"/>
  <c r="I4" i="24"/>
  <c r="G4" i="24"/>
  <c r="I4" i="41"/>
  <c r="G4" i="41"/>
  <c r="I4" i="1"/>
  <c r="G4" i="1"/>
  <c r="D5" i="44"/>
  <c r="A5" i="44"/>
  <c r="F30" i="46"/>
  <c r="F15" i="46"/>
  <c r="K29" i="46"/>
  <c r="I29" i="46"/>
  <c r="K28" i="46"/>
  <c r="K26" i="46"/>
  <c r="K27" i="46"/>
  <c r="K30" i="46"/>
  <c r="I28" i="46"/>
  <c r="I27" i="46"/>
  <c r="I26" i="46"/>
  <c r="I11" i="46"/>
  <c r="I12" i="46"/>
  <c r="I13" i="46"/>
  <c r="I14" i="46"/>
  <c r="I1" i="46"/>
  <c r="A1" i="46"/>
  <c r="F5" i="46"/>
  <c r="A5" i="46"/>
  <c r="K11" i="46"/>
  <c r="K15" i="46" s="1"/>
  <c r="K12" i="46"/>
  <c r="K13" i="46"/>
  <c r="K14" i="46"/>
  <c r="B21" i="44"/>
  <c r="D21" i="44" s="1"/>
  <c r="G21" i="44" s="1"/>
  <c r="F21" i="44"/>
  <c r="B18" i="44"/>
  <c r="D18" i="44" s="1"/>
  <c r="G18" i="44" s="1"/>
  <c r="F18" i="44"/>
  <c r="B15" i="44"/>
  <c r="D15" i="44" s="1"/>
  <c r="G15" i="44" s="1"/>
  <c r="F15" i="44"/>
  <c r="B12" i="44"/>
  <c r="D12" i="44" s="1"/>
  <c r="G12" i="44" s="1"/>
  <c r="F12" i="44"/>
  <c r="D9" i="44"/>
  <c r="G9" i="44" s="1"/>
  <c r="E4" i="41"/>
  <c r="A4" i="41"/>
  <c r="E4" i="24"/>
  <c r="A4" i="24"/>
  <c r="E4" i="1"/>
  <c r="A4" i="1"/>
  <c r="H22" i="1"/>
  <c r="H11" i="1"/>
  <c r="H12" i="1"/>
  <c r="H13" i="1"/>
  <c r="H14" i="1"/>
  <c r="H18" i="1"/>
  <c r="H15" i="1"/>
  <c r="H16" i="1"/>
  <c r="H19" i="1"/>
  <c r="I15" i="41" l="1"/>
  <c r="I18" i="41" s="1"/>
  <c r="I17" i="41" s="1"/>
  <c r="J19" i="41" s="1"/>
  <c r="L30" i="44"/>
  <c r="B36" i="44" s="1"/>
  <c r="C13" i="23" s="1"/>
  <c r="K30" i="56"/>
  <c r="J32" i="56"/>
  <c r="J12" i="54"/>
  <c r="K15" i="54" s="1"/>
  <c r="J17" i="54" s="1"/>
  <c r="J18" i="54" s="1"/>
  <c r="K20" i="54" s="1"/>
  <c r="J12" i="24"/>
  <c r="J12" i="49"/>
  <c r="K15" i="49" s="1"/>
  <c r="J17" i="49" s="1"/>
  <c r="J18" i="49" s="1"/>
  <c r="K20" i="49" s="1"/>
  <c r="D20" i="23"/>
  <c r="G35" i="56"/>
  <c r="C21" i="23" s="1"/>
  <c r="I15" i="56"/>
  <c r="I30" i="56"/>
  <c r="G19" i="56"/>
  <c r="K19" i="56" s="1"/>
  <c r="B21" i="23"/>
  <c r="B20" i="23"/>
  <c r="K20" i="56"/>
  <c r="K34" i="56"/>
  <c r="K15" i="55"/>
  <c r="J17" i="55" s="1"/>
  <c r="J18" i="55" s="1"/>
  <c r="I12" i="55"/>
  <c r="H13" i="55" s="1"/>
  <c r="B18" i="23"/>
  <c r="J30" i="46"/>
  <c r="J33" i="46" s="1"/>
  <c r="J32" i="46" s="1"/>
  <c r="B17" i="23" s="1"/>
  <c r="I30" i="46"/>
  <c r="J15" i="46"/>
  <c r="J18" i="46" s="1"/>
  <c r="J17" i="46" s="1"/>
  <c r="B16" i="23" s="1"/>
  <c r="G34" i="46"/>
  <c r="D17" i="23"/>
  <c r="I15" i="46"/>
  <c r="I12" i="49"/>
  <c r="H13" i="49" s="1"/>
  <c r="D15" i="23" s="1"/>
  <c r="J12" i="48"/>
  <c r="K15" i="48" s="1"/>
  <c r="J17" i="48" s="1"/>
  <c r="J18" i="48" s="1"/>
  <c r="K20" i="48" s="1"/>
  <c r="I12" i="48"/>
  <c r="H20" i="1"/>
  <c r="F24" i="1" s="1"/>
  <c r="C10" i="23" s="1"/>
  <c r="I23" i="1"/>
  <c r="J25" i="1" s="1"/>
  <c r="I27" i="1" s="1"/>
  <c r="H12" i="41"/>
  <c r="F13" i="41" s="1"/>
  <c r="C12" i="23" s="1"/>
  <c r="I12" i="24"/>
  <c r="G19" i="46"/>
  <c r="D16" i="23"/>
  <c r="L15" i="44"/>
  <c r="D13" i="23"/>
  <c r="J16" i="24"/>
  <c r="J18" i="24" s="1"/>
  <c r="D11" i="23" s="1"/>
  <c r="J20" i="41" l="1"/>
  <c r="K19" i="49"/>
  <c r="K19" i="54"/>
  <c r="J28" i="24"/>
  <c r="K35" i="56"/>
  <c r="H13" i="48"/>
  <c r="D14" i="23" s="1"/>
  <c r="K20" i="55"/>
  <c r="K19" i="55"/>
  <c r="B19" i="23"/>
  <c r="D19" i="23"/>
  <c r="C19" i="23"/>
  <c r="K34" i="46"/>
  <c r="K35" i="46"/>
  <c r="K20" i="46"/>
  <c r="K19" i="46"/>
  <c r="C15" i="23"/>
  <c r="B15" i="23"/>
  <c r="K19" i="48"/>
  <c r="D10" i="23"/>
  <c r="I28" i="1"/>
  <c r="B12" i="23"/>
  <c r="D12" i="23"/>
  <c r="J14" i="24"/>
  <c r="K17" i="24" s="1"/>
  <c r="J29" i="24"/>
  <c r="L16" i="44"/>
  <c r="L32" i="44" s="1"/>
  <c r="L31" i="44"/>
  <c r="C14" i="23" l="1"/>
  <c r="J30" i="24"/>
  <c r="K30" i="24" s="1"/>
  <c r="J33" i="24" s="1"/>
  <c r="B14" i="23"/>
  <c r="I29" i="1"/>
  <c r="I30" i="1" s="1"/>
  <c r="J31" i="1" s="1"/>
  <c r="K24" i="44"/>
  <c r="B13" i="23" s="1"/>
  <c r="J32" i="1" l="1"/>
  <c r="B10" i="23"/>
  <c r="J34" i="24"/>
  <c r="J35" i="24" s="1"/>
  <c r="B11"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DSPD</author>
  </authors>
  <commentList>
    <comment ref="B6" authorId="0" shapeId="0" xr:uid="{00000000-0006-0000-0100-000001000000}">
      <text>
        <r>
          <rPr>
            <b/>
            <sz val="8"/>
            <color indexed="81"/>
            <rFont val="Tahoma"/>
            <family val="2"/>
          </rPr>
          <t>DSPD:</t>
        </r>
        <r>
          <rPr>
            <sz val="8"/>
            <color indexed="81"/>
            <rFont val="Tahoma"/>
            <family val="2"/>
          </rPr>
          <t xml:space="preserve">
Ages 0-11 WHX 11.73
Ages 12-15 WHX 12.69
Ages 16+ WHX 13.66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Steven M. Wrigley</author>
    <author>DSPD</author>
  </authors>
  <commentList>
    <comment ref="I6" authorId="0" shapeId="0" xr:uid="{3693E930-787B-4697-9F4E-1AA5FBF88AE7}">
      <text>
        <r>
          <rPr>
            <sz val="8"/>
            <color indexed="81"/>
            <rFont val="Tahoma"/>
            <family val="2"/>
          </rPr>
          <t xml:space="preserve">Enter the Annual number of days of EPR Supports  that are approved
</t>
        </r>
      </text>
    </comment>
    <comment ref="K15" authorId="1" shapeId="0" xr:uid="{1D54926A-C395-400D-BB5C-330DCD69B83D}">
      <text>
        <r>
          <rPr>
            <b/>
            <sz val="8"/>
            <color indexed="81"/>
            <rFont val="Tahoma"/>
            <family val="2"/>
          </rPr>
          <t>DSPD:</t>
        </r>
        <r>
          <rPr>
            <sz val="8"/>
            <color indexed="81"/>
            <rFont val="Tahoma"/>
            <family val="2"/>
          </rPr>
          <t xml:space="preserve">
Old worksheet Percentage
.195 +  .14 
Old worksheet Fixed Costs
6.84
detail on formula
 (6.84)+(.195+.14)
</t>
        </r>
      </text>
    </comment>
    <comment ref="J17" authorId="1" shapeId="0" xr:uid="{98AA4869-6901-4E80-9966-6CFCEF4D7986}">
      <text>
        <r>
          <rPr>
            <b/>
            <sz val="8"/>
            <color indexed="81"/>
            <rFont val="Tahoma"/>
            <family val="2"/>
          </rPr>
          <t>DSPD:</t>
        </r>
        <r>
          <rPr>
            <sz val="8"/>
            <color indexed="81"/>
            <rFont val="Tahoma"/>
            <family val="2"/>
          </rPr>
          <t xml:space="preserve">
FY18-19 rate increase of 2.1
 percent added in this cell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Steven M. Wrigley</author>
    <author>DHS</author>
  </authors>
  <commentList>
    <comment ref="I9" authorId="0" shapeId="0" xr:uid="{DA1AE348-0D6D-4869-97A1-09ED0EC6F189}">
      <text>
        <r>
          <rPr>
            <sz val="8"/>
            <color indexed="81"/>
            <rFont val="Tahoma"/>
            <family val="2"/>
          </rPr>
          <t xml:space="preserve">Enter the Annual number of days of EPR 
 Supports that are approved. 
</t>
        </r>
      </text>
    </comment>
    <comment ref="F10" authorId="1" shapeId="0" xr:uid="{F0652406-1952-4A54-AC81-E79C0865ADDF}">
      <text>
        <r>
          <rPr>
            <sz val="11"/>
            <color indexed="81"/>
            <rFont val="Tahoma"/>
            <family val="2"/>
          </rPr>
          <t xml:space="preserve">Total hours  
 must not exceed 6 hours
</t>
        </r>
      </text>
    </comment>
    <comment ref="I24" authorId="0" shapeId="0" xr:uid="{B45E0547-D90C-4D7D-AD9B-4D762DC79B99}">
      <text>
        <r>
          <rPr>
            <sz val="9"/>
            <color indexed="81"/>
            <rFont val="Tahoma"/>
            <family val="2"/>
          </rPr>
          <t xml:space="preserve">Enter the Annual number of days of EPR supports that are approved.                 
</t>
        </r>
        <r>
          <rPr>
            <sz val="8"/>
            <color indexed="81"/>
            <rFont val="Tahoma"/>
            <family val="2"/>
          </rPr>
          <t xml:space="preserve">
</t>
        </r>
      </text>
    </comment>
    <comment ref="F25" authorId="1" shapeId="0" xr:uid="{E36C5AEE-D32D-4BE2-9636-7F53A5183446}">
      <text>
        <r>
          <rPr>
            <sz val="11"/>
            <color indexed="81"/>
            <rFont val="Tahoma"/>
            <family val="2"/>
          </rPr>
          <t>Total hours must not exceed 10 hours</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DHS</author>
    <author>DSPD</author>
  </authors>
  <commentList>
    <comment ref="I8" authorId="0" shapeId="0" xr:uid="{00000000-0006-0000-0200-000001000000}">
      <text>
        <r>
          <rPr>
            <sz val="10"/>
            <color indexed="81"/>
            <rFont val="Tahoma"/>
            <family val="2"/>
          </rPr>
          <t>Cannot exceed 30 days without Director approval</t>
        </r>
        <r>
          <rPr>
            <sz val="8"/>
            <color indexed="81"/>
            <rFont val="Tahoma"/>
            <family val="2"/>
          </rPr>
          <t xml:space="preserve">
</t>
        </r>
      </text>
    </comment>
    <comment ref="I18" authorId="0" shapeId="0" xr:uid="{00000000-0006-0000-0200-000003000000}">
      <text>
        <r>
          <rPr>
            <b/>
            <sz val="8"/>
            <color indexed="81"/>
            <rFont val="Tahoma"/>
            <family val="2"/>
          </rPr>
          <t>DHS:</t>
        </r>
        <r>
          <rPr>
            <sz val="8"/>
            <color indexed="81"/>
            <rFont val="Tahoma"/>
            <family val="2"/>
          </rPr>
          <t xml:space="preserve">
USE 7 INSTEAD OF 2 IN ORDER TO TIE TO DAILY WORKSHEET RATE!</t>
        </r>
      </text>
    </comment>
    <comment ref="I19" authorId="0" shapeId="0" xr:uid="{00000000-0006-0000-0200-000004000000}">
      <text>
        <r>
          <rPr>
            <b/>
            <sz val="8"/>
            <color indexed="81"/>
            <rFont val="Tahoma"/>
            <family val="2"/>
          </rPr>
          <t>DHS:</t>
        </r>
        <r>
          <rPr>
            <sz val="8"/>
            <color indexed="81"/>
            <rFont val="Tahoma"/>
            <family val="2"/>
          </rPr>
          <t xml:space="preserve">
USE 7 INSTEAD OF 2 IN ORDER TO TIE TO DAILY WORKSHEET RATE!</t>
        </r>
      </text>
    </comment>
    <comment ref="J25" authorId="1" shapeId="0" xr:uid="{00000000-0006-0000-0200-000005000000}">
      <text>
        <r>
          <rPr>
            <b/>
            <sz val="8"/>
            <color indexed="81"/>
            <rFont val="Tahoma"/>
            <family val="2"/>
          </rPr>
          <t>DSPD:</t>
        </r>
        <r>
          <rPr>
            <sz val="8"/>
            <color indexed="81"/>
            <rFont val="Tahoma"/>
            <family val="2"/>
          </rPr>
          <t xml:space="preserve">
Old worksheet Percentage
.0648 No Cap .13 Cap
Old worksheet Fixed Costs
7.13 and 9.63
Cap is at 170
detail on formula
Under 170 (7.13+9.63)+(.0648*.13)
Over 170 (7.13+9.63)+(170*.13)+(.0648)</t>
        </r>
      </text>
    </comment>
    <comment ref="I29" authorId="1" shapeId="0" xr:uid="{00000000-0006-0000-0200-000006000000}">
      <text>
        <r>
          <rPr>
            <b/>
            <sz val="8"/>
            <color indexed="81"/>
            <rFont val="Tahoma"/>
            <family val="2"/>
          </rPr>
          <t>DSPD:</t>
        </r>
        <r>
          <rPr>
            <sz val="8"/>
            <color indexed="81"/>
            <rFont val="Tahoma"/>
            <family val="2"/>
          </rPr>
          <t xml:space="preserve">
Includes WHX code when entered on the front sheet.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Steven M. Wrigley</author>
    <author>DSPD</author>
    <author>stchandler</author>
  </authors>
  <commentList>
    <comment ref="J16" authorId="0" shapeId="0" xr:uid="{00000000-0006-0000-0400-000001000000}">
      <text>
        <r>
          <rPr>
            <sz val="8"/>
            <color indexed="81"/>
            <rFont val="Tahoma"/>
            <family val="2"/>
          </rPr>
          <t xml:space="preserve">Average number of Direct Support Staff hours expected  per month.
</t>
        </r>
      </text>
    </comment>
    <comment ref="J18" authorId="0" shapeId="0" xr:uid="{00000000-0006-0000-0400-000002000000}">
      <text>
        <r>
          <rPr>
            <sz val="8"/>
            <color indexed="81"/>
            <rFont val="Tahoma"/>
            <family val="2"/>
          </rPr>
          <t xml:space="preserve">Average number of Direct Support Staff hours expected  per day.
</t>
        </r>
      </text>
    </comment>
    <comment ref="J33" authorId="1" shapeId="0" xr:uid="{00000000-0006-0000-0400-000003000000}">
      <text>
        <r>
          <rPr>
            <b/>
            <sz val="8"/>
            <color indexed="81"/>
            <rFont val="Tahoma"/>
            <family val="2"/>
          </rPr>
          <t>DSPD:</t>
        </r>
        <r>
          <rPr>
            <sz val="8"/>
            <color indexed="81"/>
            <rFont val="Tahoma"/>
            <family val="2"/>
          </rPr>
          <t xml:space="preserve">
Includes FY19-20 rate increase of 0.98 percent added to this cell.
</t>
        </r>
      </text>
    </comment>
    <comment ref="J35" authorId="2" shapeId="0" xr:uid="{00000000-0006-0000-0400-000004000000}">
      <text>
        <r>
          <rPr>
            <b/>
            <sz val="9"/>
            <color indexed="81"/>
            <rFont val="Tahoma"/>
            <family val="2"/>
          </rPr>
          <t xml:space="preserve">DSPD: Includes WHX code when entered on front page
</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Steven M. Wrigley</author>
    <author>DSPD</author>
  </authors>
  <commentList>
    <comment ref="H6" authorId="0" shapeId="0" xr:uid="{00000000-0006-0000-0300-000001000000}">
      <text>
        <r>
          <rPr>
            <sz val="8"/>
            <color indexed="81"/>
            <rFont val="Tahoma"/>
            <family val="2"/>
          </rPr>
          <t xml:space="preserve">Enter the Annual number of days of Day Supports that are approved.
</t>
        </r>
      </text>
    </comment>
    <comment ref="I15" authorId="1" shapeId="0" xr:uid="{00000000-0006-0000-0300-000002000000}">
      <text>
        <r>
          <rPr>
            <b/>
            <sz val="8"/>
            <color indexed="81"/>
            <rFont val="Tahoma"/>
            <family val="2"/>
          </rPr>
          <t>DSPD:</t>
        </r>
        <r>
          <rPr>
            <sz val="8"/>
            <color indexed="81"/>
            <rFont val="Tahoma"/>
            <family val="2"/>
          </rPr>
          <t xml:space="preserve">
Old worksheet Percentage
.195 +  .14 
Old worksheet Fixed Costs
6.84
detail on formula
 (6.84)+(.195+.14)
</t>
        </r>
      </text>
    </comment>
    <comment ref="I18" authorId="1" shapeId="0" xr:uid="{00000000-0006-0000-0300-000003000000}">
      <text>
        <r>
          <rPr>
            <b/>
            <sz val="8"/>
            <color indexed="81"/>
            <rFont val="Tahoma"/>
            <family val="2"/>
          </rPr>
          <t>DSPD:</t>
        </r>
        <r>
          <rPr>
            <sz val="8"/>
            <color indexed="81"/>
            <rFont val="Tahoma"/>
            <family val="2"/>
          </rPr>
          <t xml:space="preserve">
FY18-19 Rate Increase of 2.1 percent  
added in this cell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J12" authorId="0" shapeId="0" xr:uid="{00000000-0006-0000-0500-000001000000}">
      <text>
        <r>
          <rPr>
            <b/>
            <sz val="8"/>
            <color indexed="81"/>
            <rFont val="Tahoma"/>
            <family val="2"/>
          </rPr>
          <t xml:space="preserve"> :</t>
        </r>
        <r>
          <rPr>
            <sz val="8"/>
            <color indexed="81"/>
            <rFont val="Tahoma"/>
            <family val="2"/>
          </rPr>
          <t xml:space="preserve">
I11 through J16 have hidden information that help with calculations.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Steven M. Wrigley</author>
    <author>DSPD</author>
  </authors>
  <commentList>
    <comment ref="I6" authorId="0" shapeId="0" xr:uid="{00000000-0006-0000-0600-000001000000}">
      <text>
        <r>
          <rPr>
            <sz val="9"/>
            <color indexed="81"/>
            <rFont val="Tahoma"/>
            <family val="2"/>
          </rPr>
          <t xml:space="preserve">Enter the Annual number of days of After School  Supports that have been approved  Cannot exceed 240 without approval
</t>
        </r>
      </text>
    </comment>
    <comment ref="K15" authorId="1" shapeId="0" xr:uid="{00000000-0006-0000-0600-000002000000}">
      <text>
        <r>
          <rPr>
            <b/>
            <sz val="9"/>
            <color indexed="81"/>
            <rFont val="Tahoma"/>
            <family val="2"/>
          </rPr>
          <t>DSPD:</t>
        </r>
        <r>
          <rPr>
            <sz val="9"/>
            <color indexed="81"/>
            <rFont val="Tahoma"/>
            <family val="2"/>
          </rPr>
          <t xml:space="preserve">
Old worksheet Percentage
.195 +  .14 
Old worksheet Fixed Costs
6.84
detail on formula
 (6.84)+(.195+.14)
</t>
        </r>
      </text>
    </comment>
    <comment ref="J17" authorId="1" shapeId="0" xr:uid="{00000000-0006-0000-0600-000003000000}">
      <text>
        <r>
          <rPr>
            <b/>
            <sz val="9"/>
            <color indexed="81"/>
            <rFont val="Tahoma"/>
            <family val="2"/>
          </rPr>
          <t>DSPD:</t>
        </r>
        <r>
          <rPr>
            <sz val="9"/>
            <color indexed="81"/>
            <rFont val="Tahoma"/>
            <family val="2"/>
          </rPr>
          <t xml:space="preserve">
FY18-19 RATE INCREASE of 2.1
 percent added in this cell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Steven M. Wrigley</author>
    <author>DSPD</author>
  </authors>
  <commentList>
    <comment ref="I6" authorId="0" shapeId="0" xr:uid="{00000000-0006-0000-0800-000001000000}">
      <text>
        <r>
          <rPr>
            <sz val="8"/>
            <color indexed="81"/>
            <rFont val="Tahoma"/>
            <family val="2"/>
          </rPr>
          <t xml:space="preserve">Enter the Annual number of days of After School Supports  that are approved  MAXIMUM 69 DAYS
</t>
        </r>
      </text>
    </comment>
    <comment ref="K15" authorId="1" shapeId="0" xr:uid="{00000000-0006-0000-0800-000002000000}">
      <text>
        <r>
          <rPr>
            <b/>
            <sz val="8"/>
            <color indexed="81"/>
            <rFont val="Tahoma"/>
            <family val="2"/>
          </rPr>
          <t>DSPD:</t>
        </r>
        <r>
          <rPr>
            <sz val="8"/>
            <color indexed="81"/>
            <rFont val="Tahoma"/>
            <family val="2"/>
          </rPr>
          <t xml:space="preserve">
Old worksheet Percentage
.195 +  .14 
Old worksheet Fixed Costs
6.84
detail on formula
 (6.84)+(.195+.14)
</t>
        </r>
      </text>
    </comment>
    <comment ref="J17" authorId="1" shapeId="0" xr:uid="{00000000-0006-0000-0800-000003000000}">
      <text>
        <r>
          <rPr>
            <b/>
            <sz val="8"/>
            <color indexed="81"/>
            <rFont val="Tahoma"/>
            <family val="2"/>
          </rPr>
          <t>DSPD:</t>
        </r>
        <r>
          <rPr>
            <sz val="8"/>
            <color indexed="81"/>
            <rFont val="Tahoma"/>
            <family val="2"/>
          </rPr>
          <t xml:space="preserve">
FY18-19 rate increase of 2.1
 percent added in this cell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Steven M. Wrigley</author>
    <author>DHS</author>
  </authors>
  <commentList>
    <comment ref="I9" authorId="0" shapeId="0" xr:uid="{00000000-0006-0000-0A00-000001000000}">
      <text>
        <r>
          <rPr>
            <sz val="8"/>
            <color indexed="81"/>
            <rFont val="Tahoma"/>
            <family val="2"/>
          </rPr>
          <t xml:space="preserve">Enter the Annual number of days of Partial Day Supports that are approved. 
</t>
        </r>
      </text>
    </comment>
    <comment ref="F10" authorId="1" shapeId="0" xr:uid="{00000000-0006-0000-0A00-000002000000}">
      <text>
        <r>
          <rPr>
            <sz val="11"/>
            <color indexed="81"/>
            <rFont val="Tahoma"/>
            <family val="2"/>
          </rPr>
          <t xml:space="preserve">Total hours  
 must not exceed 6 hours
</t>
        </r>
      </text>
    </comment>
    <comment ref="I24" authorId="0" shapeId="0" xr:uid="{00000000-0006-0000-0A00-000004000000}">
      <text>
        <r>
          <rPr>
            <sz val="9"/>
            <color indexed="81"/>
            <rFont val="Tahoma"/>
            <family val="2"/>
          </rPr>
          <t xml:space="preserve">Enter the Annual number of days of Partial Day 
Supports that are approved.                 </t>
        </r>
        <r>
          <rPr>
            <sz val="9"/>
            <color indexed="81"/>
            <rFont val="Tahoma"/>
            <family val="2"/>
          </rPr>
          <t xml:space="preserve">
</t>
        </r>
        <r>
          <rPr>
            <sz val="8"/>
            <color indexed="81"/>
            <rFont val="Tahoma"/>
            <family val="2"/>
          </rPr>
          <t xml:space="preserve">
</t>
        </r>
      </text>
    </comment>
    <comment ref="F25" authorId="1" shapeId="0" xr:uid="{00000000-0006-0000-0A00-000005000000}">
      <text>
        <r>
          <rPr>
            <sz val="11"/>
            <color indexed="81"/>
            <rFont val="Tahoma"/>
            <family val="2"/>
          </rPr>
          <t>Total hours must not exceed 10 hours</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Steven M. Wrigley</author>
    <author>DSPD</author>
  </authors>
  <commentList>
    <comment ref="I6" authorId="0" shapeId="0" xr:uid="{5EFB9C34-6764-4779-97E7-EF62C11E3EF5}">
      <text>
        <r>
          <rPr>
            <sz val="9"/>
            <color indexed="81"/>
            <rFont val="Tahoma"/>
            <family val="2"/>
          </rPr>
          <t xml:space="preserve">Enter the Annual number of days of EPR Supports that have been approved.  
</t>
        </r>
      </text>
    </comment>
    <comment ref="K15" authorId="1" shapeId="0" xr:uid="{9D3C1BD9-36C8-4E7B-9818-47F193EB0357}">
      <text>
        <r>
          <rPr>
            <b/>
            <sz val="9"/>
            <color indexed="81"/>
            <rFont val="Tahoma"/>
            <family val="2"/>
          </rPr>
          <t>DSPD:</t>
        </r>
        <r>
          <rPr>
            <sz val="9"/>
            <color indexed="81"/>
            <rFont val="Tahoma"/>
            <family val="2"/>
          </rPr>
          <t xml:space="preserve">
Old worksheet Percentage
.195 +  .14 
Old worksheet Fixed Costs
6.84
detail on formula
 (6.84)+(.195+.14)
</t>
        </r>
      </text>
    </comment>
    <comment ref="J17" authorId="1" shapeId="0" xr:uid="{999F9250-A45B-4057-94EB-45A4029B7019}">
      <text>
        <r>
          <rPr>
            <b/>
            <sz val="9"/>
            <color indexed="81"/>
            <rFont val="Tahoma"/>
            <family val="2"/>
          </rPr>
          <t>DSPD:</t>
        </r>
        <r>
          <rPr>
            <sz val="9"/>
            <color indexed="81"/>
            <rFont val="Tahoma"/>
            <family val="2"/>
          </rPr>
          <t xml:space="preserve">
FY18-19 RATE INCREASE of 2.1
 percent added in this cell
</t>
        </r>
      </text>
    </comment>
  </commentList>
</comments>
</file>

<file path=xl/sharedStrings.xml><?xml version="1.0" encoding="utf-8"?>
<sst xmlns="http://schemas.openxmlformats.org/spreadsheetml/2006/main" count="632" uniqueCount="290">
  <si>
    <t>HRS. /  WEEKEND</t>
  </si>
  <si>
    <t>Direct Support Costs:</t>
  </si>
  <si>
    <t>Total:</t>
  </si>
  <si>
    <t>Unit</t>
  </si>
  <si>
    <t>Staff Ratio</t>
  </si>
  <si>
    <t>Annual Days Allocated:</t>
  </si>
  <si>
    <t>Utah Division of Service for People with Disabilities</t>
  </si>
  <si>
    <t>Community Supports:</t>
  </si>
  <si>
    <t>Home Visit Rate:</t>
  </si>
  <si>
    <t>Hrs. / Day</t>
  </si>
  <si>
    <t>Hrs. / Month</t>
  </si>
  <si>
    <t>Salary / Hr.</t>
  </si>
  <si>
    <t>Total Monthly Rate:</t>
  </si>
  <si>
    <t>Hrs. / Mo.</t>
  </si>
  <si>
    <t>Daily Amt.</t>
  </si>
  <si>
    <t>Monthly Amt.</t>
  </si>
  <si>
    <t>Days / Year</t>
  </si>
  <si>
    <t>Days Absent</t>
  </si>
  <si>
    <t>Identification Number:</t>
  </si>
  <si>
    <t>Personnel Costs: (I need someone)</t>
  </si>
  <si>
    <t>Budget Plan For:</t>
  </si>
  <si>
    <t>Individualized Budget Plan</t>
  </si>
  <si>
    <t>Day Supports Worksheet for:</t>
  </si>
  <si>
    <t>Daily Cost:</t>
  </si>
  <si>
    <t>Annual Cost:</t>
  </si>
  <si>
    <t>Total Monthly Cost:</t>
  </si>
  <si>
    <t>Extended Care:</t>
  </si>
  <si>
    <t>Extended Placement Costs: (Respite for Parents)</t>
  </si>
  <si>
    <t>DAYS / MO.</t>
  </si>
  <si>
    <t>Home Visit Rate - Daily Adjustment:</t>
  </si>
  <si>
    <t>Total Daily Cost:</t>
  </si>
  <si>
    <t>Total Daily Costs :</t>
  </si>
  <si>
    <t xml:space="preserve"> Direct Personnel Avg. Hours / Mo.</t>
  </si>
  <si>
    <t xml:space="preserve">To help me with getting up in the morning, </t>
  </si>
  <si>
    <t xml:space="preserve">dressing  and bathing, getting my breakfast, </t>
  </si>
  <si>
    <t>lunch, dinner, and washing my clothes.</t>
  </si>
  <si>
    <t>At night when I am sleeping (Staff asleep)</t>
  </si>
  <si>
    <t>At night when I am sleeping (Staff awake)</t>
  </si>
  <si>
    <t xml:space="preserve">To help me do things on the weekend when </t>
  </si>
  <si>
    <t>I am not in school or day supports.</t>
  </si>
  <si>
    <t xml:space="preserve"> </t>
  </si>
  <si>
    <t>Rate</t>
  </si>
  <si>
    <t>Supports Worksheet for:</t>
  </si>
  <si>
    <t>Individualized Budget Plan Software 04-19-02.xls</t>
  </si>
  <si>
    <t>N/A</t>
  </si>
  <si>
    <t>Hrs. / Weekend</t>
  </si>
  <si>
    <t>Direct Svc Supervision Costs Per Day</t>
  </si>
  <si>
    <t>Total Direct Support Costs / Day:</t>
  </si>
  <si>
    <t>Admin. (Indirect Management Costs) Daily Rate:</t>
  </si>
  <si>
    <t>Direct Personnel Costs Per  Day / Month:</t>
  </si>
  <si>
    <t>Non-Personnel Operating Costs Per Day</t>
  </si>
  <si>
    <t>Non- Personnel Operating Costs Daily Rate:</t>
  </si>
  <si>
    <t>Supports while I am at a day services</t>
  </si>
  <si>
    <t>Negative Adjustment for PBA Code</t>
  </si>
  <si>
    <t>If DCFS Child enter WHX Code Amount:</t>
  </si>
  <si>
    <t>Other Supports</t>
  </si>
  <si>
    <t>Assure Health and Safety of the individual</t>
  </si>
  <si>
    <t>Includes parents pay, respite and other needed supports</t>
  </si>
  <si>
    <t>Leap Year State will allow one more day then Annual Days Allocated</t>
  </si>
  <si>
    <t>Direct Supervision, Admin &amp; Non Personnel Costs</t>
  </si>
  <si>
    <t>Direct Personnel Hours &amp; Costs Per  Day / Month:</t>
  </si>
  <si>
    <t>HRS. / Day</t>
  </si>
  <si>
    <t>Direct Personnel Hours Per Month:</t>
  </si>
  <si>
    <t>Direct Personnel Costs Per Day / Month:</t>
  </si>
  <si>
    <t xml:space="preserve"> Direct Personnel Avg. Hours / Day</t>
  </si>
  <si>
    <t>Units</t>
  </si>
  <si>
    <t>Annual Units</t>
  </si>
  <si>
    <t>Supported Employment and Day Service Worksheet</t>
  </si>
  <si>
    <t>SEI, SEE and DSI RATE MATRIX</t>
  </si>
  <si>
    <t>Hours Per Day</t>
  </si>
  <si>
    <t>Hours Per Year</t>
  </si>
  <si>
    <t>Units Per Day</t>
  </si>
  <si>
    <t>Units Per Year</t>
  </si>
  <si>
    <t>Unit Rate</t>
  </si>
  <si>
    <t>Daily Rate</t>
  </si>
  <si>
    <t>Annual Limit</t>
  </si>
  <si>
    <t>A Units Only</t>
  </si>
  <si>
    <t xml:space="preserve">to be hidden </t>
  </si>
  <si>
    <t>Calculated Limit</t>
  </si>
  <si>
    <t>to be hidden</t>
  </si>
  <si>
    <t>Calculated Daily Rate</t>
  </si>
  <si>
    <t>Calculated Unit Rate</t>
  </si>
  <si>
    <t>Professional Parent / Host Home Worksheet: Community Supports</t>
  </si>
  <si>
    <t>Day Supports Worksheet: Community Supports</t>
  </si>
  <si>
    <t>Residential Habilitation Worksheet: Community Supports</t>
  </si>
  <si>
    <t>After School Worksheet For:</t>
  </si>
  <si>
    <t>Supports while I am at an after school program</t>
  </si>
  <si>
    <t>Average Quarter Unit Rate:</t>
  </si>
  <si>
    <t>Average Daily Quarter Units:</t>
  </si>
  <si>
    <t>Average Total Daily Costs :</t>
  </si>
  <si>
    <t>Average Monthly Units:</t>
  </si>
  <si>
    <t>Average Total Monthly Cost:</t>
  </si>
  <si>
    <t>Average Annual Units:</t>
  </si>
  <si>
    <t xml:space="preserve">  Average Daily Hours  :</t>
  </si>
  <si>
    <t>Average</t>
  </si>
  <si>
    <t>Daily Hours</t>
  </si>
  <si>
    <t>Annual</t>
  </si>
  <si>
    <t>MAX RATE</t>
  </si>
  <si>
    <t>(Rate Individually Negotiated with Professional Parent/Host Home Provider based upon available funds)</t>
  </si>
  <si>
    <t xml:space="preserve">       6 Hour Maximum  DSP Worksheet</t>
  </si>
  <si>
    <t>Total</t>
  </si>
  <si>
    <t>Must not exceed 6 hours</t>
  </si>
  <si>
    <t>Must not exceed 10 hours</t>
  </si>
  <si>
    <t>Supp Coord  ID:</t>
  </si>
  <si>
    <t>Effective Date:</t>
  </si>
  <si>
    <t>Supp Coord ID:</t>
  </si>
  <si>
    <t>Budget Plan</t>
  </si>
  <si>
    <t xml:space="preserve">Absentee rate:   </t>
  </si>
  <si>
    <t>Staff Ratios</t>
  </si>
  <si>
    <t>TAB</t>
  </si>
  <si>
    <t xml:space="preserve">RHS  </t>
  </si>
  <si>
    <t>DSG</t>
  </si>
  <si>
    <t>Annual Days Allocated</t>
  </si>
  <si>
    <t>PPS/HHS</t>
  </si>
  <si>
    <t>Direct Support Costs</t>
  </si>
  <si>
    <t>Other Supports:</t>
  </si>
  <si>
    <t>This is the total amount of parental stipend, respite, other advisor hours, etc.</t>
  </si>
  <si>
    <t>6 hour maximum:</t>
  </si>
  <si>
    <t>10 hour maximum</t>
  </si>
  <si>
    <t>This is the worksheet used to develop a quarter hour rate for these services</t>
  </si>
  <si>
    <t>These will automatically populate when you complete the worksheets</t>
  </si>
  <si>
    <t>WHX Code:</t>
  </si>
  <si>
    <t>USTEPS</t>
  </si>
  <si>
    <t>rate</t>
  </si>
  <si>
    <t>plan units</t>
  </si>
  <si>
    <t>daily hours</t>
  </si>
  <si>
    <t>unit rate</t>
  </si>
  <si>
    <t>Front Sheet</t>
  </si>
  <si>
    <t>=</t>
  </si>
  <si>
    <t>annual units</t>
  </si>
  <si>
    <t xml:space="preserve"> avg daily hours</t>
  </si>
  <si>
    <t>Enter information into cells this color</t>
  </si>
  <si>
    <t>Hrs./Day</t>
  </si>
  <si>
    <t>Hrs./Month</t>
  </si>
  <si>
    <t>Generally 12 hours total</t>
  </si>
  <si>
    <t xml:space="preserve">Budget Plan For:      </t>
  </si>
  <si>
    <t xml:space="preserve">Identification Number:   </t>
  </si>
  <si>
    <t xml:space="preserve">Effective Date:     </t>
  </si>
  <si>
    <t>The date this worksheet is effective</t>
  </si>
  <si>
    <t>This information automatically transfers to the worksheets</t>
  </si>
  <si>
    <t>Enter Hrs./Day and Staff Ratios</t>
  </si>
  <si>
    <t>CELL</t>
  </si>
  <si>
    <t>These are hours added to residential supports on weekend to cover time not in school or day program</t>
  </si>
  <si>
    <t>Enter staff ratio for the preceding # of hours</t>
  </si>
  <si>
    <t>Hrs./Weekend</t>
  </si>
  <si>
    <t>This is the worksheet used to develop a daily  rate for residential</t>
  </si>
  <si>
    <t>Click on the red triangle in top right corner of the cell and enter amount that corresponds to</t>
  </si>
  <si>
    <t>This is sometimes referred to as the Front Sheet   This is where you enter all the identifying information</t>
  </si>
  <si>
    <t>Make sure USTEPS and these values match up</t>
  </si>
  <si>
    <t xml:space="preserve">These are the values you enter into USTEPS </t>
  </si>
  <si>
    <t xml:space="preserve">This is the worksheet used to develop a daily rate for Professional Parent/Host Home   </t>
  </si>
  <si>
    <t>Instructions for completing worksheets</t>
  </si>
  <si>
    <t>Enter number of annual days approved  not to exceed 240 days without approval</t>
  </si>
  <si>
    <t>Hrs/Day</t>
  </si>
  <si>
    <t>To figure a quarter hour rate with various ratios, use this worksheet</t>
  </si>
  <si>
    <t xml:space="preserve">  SEE  SEI  DSI</t>
  </si>
  <si>
    <t>6 hour day worksheet</t>
  </si>
  <si>
    <t>10 hour day worksheet</t>
  </si>
  <si>
    <t xml:space="preserve">After completing the worksheets, please save as Last Name, First Name, effective date of worksheet.   </t>
  </si>
  <si>
    <t>Print and attach a copy to the 1056 and give to provider</t>
  </si>
  <si>
    <t>Total Daily Costs</t>
  </si>
  <si>
    <t>Daily Costs</t>
  </si>
  <si>
    <t>Indirect Support Max not to exceed $31.92 / day</t>
  </si>
  <si>
    <t>Employment Preparation Service</t>
  </si>
  <si>
    <t>DSP, EPR Qtr Hr</t>
  </si>
  <si>
    <t xml:space="preserve">       6 Hour Maximum  EPR Worksheet</t>
  </si>
  <si>
    <t>MAR</t>
  </si>
  <si>
    <t>Date</t>
  </si>
  <si>
    <t>Rate Increase</t>
  </si>
  <si>
    <t>In worksheet</t>
  </si>
  <si>
    <t>Rate Increase added to daily cost cell</t>
  </si>
  <si>
    <t>Rate Increase added to Average Quarter Unit Rate cell</t>
  </si>
  <si>
    <t>For select codes including everyone on this page</t>
  </si>
  <si>
    <t>For SCE/not in worksheet</t>
  </si>
  <si>
    <t xml:space="preserve">For FMS, SSM </t>
  </si>
  <si>
    <t>must provide to be determined by the team.</t>
  </si>
  <si>
    <t>Recommended hours of support provider staff</t>
  </si>
  <si>
    <t>Direct Support Personnel Costs</t>
  </si>
  <si>
    <t>Direct Service Supervision Costs Daily Rate</t>
  </si>
  <si>
    <t>Indirect Support Costs</t>
  </si>
  <si>
    <t>Direct Support Cost</t>
  </si>
  <si>
    <t>Direct Support Personnel Costs: (I need someone)</t>
  </si>
  <si>
    <t>Direct Support Personnel Costs:</t>
  </si>
  <si>
    <t>Day Supports Worksheet- Community Supports Partial</t>
  </si>
  <si>
    <t>Day Supports Worksheet-Community Supports Partial</t>
  </si>
  <si>
    <t>Quarter Hour Worksheets</t>
  </si>
  <si>
    <r>
      <t>Residential Habilitation</t>
    </r>
    <r>
      <rPr>
        <sz val="11"/>
        <color rgb="FF009999"/>
        <rFont val="Open Sans"/>
      </rPr>
      <t xml:space="preserve"> RHS</t>
    </r>
  </si>
  <si>
    <r>
      <t>Professional Parent/Host Home Supports</t>
    </r>
    <r>
      <rPr>
        <sz val="11"/>
        <color rgb="FF009999"/>
        <rFont val="Open Sans"/>
      </rPr>
      <t xml:space="preserve"> PPS, HHS</t>
    </r>
  </si>
  <si>
    <r>
      <t xml:space="preserve">Site &amp; Nonsite-Based Day Supports </t>
    </r>
    <r>
      <rPr>
        <sz val="11"/>
        <color rgb="FF009999"/>
        <rFont val="Open Sans"/>
      </rPr>
      <t>DSG</t>
    </r>
  </si>
  <si>
    <r>
      <t xml:space="preserve">Supported Employment </t>
    </r>
    <r>
      <rPr>
        <sz val="11"/>
        <color rgb="FF009999"/>
        <rFont val="Open Sans"/>
      </rPr>
      <t>SEE, SEI, DSI</t>
    </r>
  </si>
  <si>
    <r>
      <t>Day Support Partial</t>
    </r>
    <r>
      <rPr>
        <sz val="11"/>
        <color rgb="FF009999"/>
        <rFont val="Open Sans"/>
      </rPr>
      <t xml:space="preserve"> DSP 6 hour</t>
    </r>
  </si>
  <si>
    <r>
      <t xml:space="preserve">Day Supports Partial </t>
    </r>
    <r>
      <rPr>
        <sz val="11"/>
        <color rgb="FF009999"/>
        <rFont val="Open Sans"/>
      </rPr>
      <t>DSP 10 hour</t>
    </r>
  </si>
  <si>
    <r>
      <rPr>
        <sz val="11"/>
        <color theme="1"/>
        <rFont val="Open Sans"/>
      </rPr>
      <t>Day Support Partial</t>
    </r>
    <r>
      <rPr>
        <sz val="11"/>
        <color indexed="10"/>
        <rFont val="Open Sans"/>
      </rPr>
      <t xml:space="preserve"> </t>
    </r>
    <r>
      <rPr>
        <sz val="11"/>
        <color rgb="FF009999"/>
        <rFont val="Open Sans"/>
      </rPr>
      <t>DSP Qtr hr- 6 hr max</t>
    </r>
  </si>
  <si>
    <r>
      <rPr>
        <sz val="11"/>
        <rFont val="Open Sans"/>
      </rPr>
      <t xml:space="preserve">Day Support Partial </t>
    </r>
    <r>
      <rPr>
        <sz val="11"/>
        <color rgb="FF009999"/>
        <rFont val="Open Sans"/>
      </rPr>
      <t>DSP Qtr hr- 10 hr max</t>
    </r>
  </si>
  <si>
    <r>
      <t xml:space="preserve">Employment Preparation Service </t>
    </r>
    <r>
      <rPr>
        <sz val="11"/>
        <color rgb="FF009999"/>
        <rFont val="Open Sans"/>
      </rPr>
      <t>EPR 6 hour</t>
    </r>
  </si>
  <si>
    <r>
      <t>Employment Preparation Service</t>
    </r>
    <r>
      <rPr>
        <sz val="11"/>
        <color rgb="FFFF0000"/>
        <rFont val="Open Sans"/>
      </rPr>
      <t xml:space="preserve"> </t>
    </r>
    <r>
      <rPr>
        <sz val="11"/>
        <color rgb="FF009999"/>
        <rFont val="Open Sans"/>
      </rPr>
      <t>EPR 10 hour</t>
    </r>
  </si>
  <si>
    <r>
      <t xml:space="preserve">Employment Preparation Service </t>
    </r>
    <r>
      <rPr>
        <sz val="11"/>
        <color rgb="FF009999"/>
        <rFont val="Open Sans"/>
      </rPr>
      <t>EPR Qtr hr- 6 hr max</t>
    </r>
  </si>
  <si>
    <r>
      <t xml:space="preserve">Employment Preparation Service </t>
    </r>
    <r>
      <rPr>
        <sz val="11"/>
        <color rgb="FF009999"/>
        <rFont val="Open Sans"/>
      </rPr>
      <t>EPR Qtr hr- 10 hr max</t>
    </r>
  </si>
  <si>
    <t>Employment Preparation Supports</t>
  </si>
  <si>
    <t>This color cell on Front Sheet, has values to transfer to USTEPS or shows results</t>
  </si>
  <si>
    <t>Name of Client</t>
  </si>
  <si>
    <t>The consumers PID number</t>
  </si>
  <si>
    <t>A10-A21</t>
  </si>
  <si>
    <t>birth date of the DCFS consumer. This changes the daily rate on the PPS/HHS or RHS worksheet.</t>
  </si>
  <si>
    <t>Work with the residential provider to determine if an absentee rate is needed.</t>
  </si>
  <si>
    <t>If needed, please enter the # of absent days per year in cell I8</t>
  </si>
  <si>
    <t>I8</t>
  </si>
  <si>
    <t>This should only be adjusted at beginning of plan year, not mid year.</t>
  </si>
  <si>
    <t>E11-E15</t>
  </si>
  <si>
    <t>This can not exceed 24 hours.  If client is in 6 hour day program or school, this cannot exceeds 18 hours.</t>
  </si>
  <si>
    <t>Whole #s or quarter hour decimals can only be used.</t>
  </si>
  <si>
    <t xml:space="preserve">This is rarely used. </t>
  </si>
  <si>
    <t>F11-F15</t>
  </si>
  <si>
    <t>E18-E19</t>
  </si>
  <si>
    <t>This includes: RHS+DSG, RHS+SED, RHS+SEI/DSI, RHS+DSP, RHS+EPR</t>
  </si>
  <si>
    <t>ELS must also be included in total hours</t>
  </si>
  <si>
    <t>Please enter the annual number of days of day supports approved.</t>
  </si>
  <si>
    <t>Hours are usually entered as Hrs/Month. PPS/HHS has minimum 12 monthly hours.</t>
  </si>
  <si>
    <t>These are hours for direct care staff coming into the home.</t>
  </si>
  <si>
    <t>Generally 1:1 but if second consumer is in the home, it can be 1:2.</t>
  </si>
  <si>
    <t>Please confer with provider to determine this amount.</t>
  </si>
  <si>
    <t>Enter the # of quarter hour units approved to provide annually.</t>
  </si>
  <si>
    <t>This is the only thing you need to enter on this page.</t>
  </si>
  <si>
    <t xml:space="preserve">  DSP/ EPR 6 hr Daily</t>
  </si>
  <si>
    <t xml:space="preserve">  DSP/EPR 10 hr Daily</t>
  </si>
  <si>
    <t>DSP/EPR can be opened as a quarter hour service with a 1:1 staff ratio</t>
  </si>
  <si>
    <t>Enter number of annual days approved</t>
  </si>
  <si>
    <t>F11-F14, H11-H14</t>
  </si>
  <si>
    <t>I24</t>
  </si>
  <si>
    <t>F26-F29, H26-H29</t>
  </si>
  <si>
    <t>Reminder: The total daily residential and day program/supported employment hours should not exceed  24 hours.</t>
  </si>
  <si>
    <t xml:space="preserve">Enter number of annual days approved   </t>
  </si>
  <si>
    <t>For limited support waiver</t>
  </si>
  <si>
    <t>The absentee rate cannot exceed 30 days per year without RFS approval.</t>
  </si>
  <si>
    <t>Reminder: HHS/PPS is paid as a daily rate. HHS/PPS can include up to 24-hour direct care staff support. Generally, however, HHS is provided for up to 24-hours on holidays and weekends and for 18-hours per day on days when the person is in school, at work or receiving other daytime supports. Similar to the RHS worksheet If the individual's rate is built on a 18 hour per day rate, 16 days of ELS support for 6 hours each day will be considered to be included in the rate. Requests for additional ELS support will need to account for the built in days before additional time will be approved.</t>
  </si>
  <si>
    <t>Revised 7/1/2023</t>
  </si>
  <si>
    <t>FY2024</t>
  </si>
  <si>
    <t>Built in ELS days</t>
  </si>
  <si>
    <t>Employment Preparation Services</t>
  </si>
  <si>
    <t>WHX</t>
  </si>
  <si>
    <t>Admin Costs Per Direct Personnel Day</t>
  </si>
  <si>
    <t>UTA Codes</t>
  </si>
  <si>
    <t xml:space="preserve">PM2 amount increased </t>
  </si>
  <si>
    <t>APC</t>
  </si>
  <si>
    <t>APD</t>
  </si>
  <si>
    <t>APQ</t>
  </si>
  <si>
    <t>DNS</t>
  </si>
  <si>
    <t>$300.00-$500.00</t>
  </si>
  <si>
    <t>E22</t>
  </si>
  <si>
    <t>This is a set # of days (16) built into the RHS rate.</t>
  </si>
  <si>
    <t>These hours should equal the amount of hours that RHS staff is covering for other services the individual does not attend like day supports or school.</t>
  </si>
  <si>
    <t>For example, if it is an 18 hours worksheet this number should be 6. If the worksheet shows 20 hours, this number should be 4.</t>
  </si>
  <si>
    <t xml:space="preserve">If there are hours that are not staffed during the weekday those hours should not be accounted for in the ELS line. </t>
  </si>
  <si>
    <t>Individuals receiving RHS services do not need to be staffed 24 hours a day.</t>
  </si>
  <si>
    <t>If the worksheet covers 24 hours there should not be any ELS hours.</t>
  </si>
  <si>
    <t>You will need to have a Support Services Coordinator to adjust these hours.</t>
  </si>
  <si>
    <t>A4</t>
  </si>
  <si>
    <t>C4</t>
  </si>
  <si>
    <t>H4</t>
  </si>
  <si>
    <t>F4</t>
  </si>
  <si>
    <t>The support coordinator name or ID</t>
  </si>
  <si>
    <t>B6</t>
  </si>
  <si>
    <t>B10-B21</t>
  </si>
  <si>
    <t>C10-C21</t>
  </si>
  <si>
    <t>D10-D21</t>
  </si>
  <si>
    <t>G11-G22</t>
  </si>
  <si>
    <t>H6</t>
  </si>
  <si>
    <t>This should generally not to exceed 6 hours/day.</t>
  </si>
  <si>
    <t>E8-E11</t>
  </si>
  <si>
    <t>G8-G11</t>
  </si>
  <si>
    <t>L12</t>
  </si>
  <si>
    <t>I6</t>
  </si>
  <si>
    <t>F8-F11,  G8-G11</t>
  </si>
  <si>
    <t>F8-F11,  H8-H11</t>
  </si>
  <si>
    <t>This is the worksheet used to figure a quarter hour rate for a partial day program</t>
  </si>
  <si>
    <t xml:space="preserve">This is the worksheet used to develop a daily rate for a site/non site based day program that averages 6 hrs a day. </t>
  </si>
  <si>
    <t xml:space="preserve">Less than 6 hours a day </t>
  </si>
  <si>
    <t>Greater than 6 hours a day but less than 10 hours a day</t>
  </si>
  <si>
    <t>This is the worksheet used to develop a daily rate for a partial day support or employment preparation program for a less than 6 hour daily rate</t>
  </si>
  <si>
    <t>This is the worksheet used to develop a daily rate for a partial day support or employment preparation program for a greater than 6 but less than 10 hour daily rate</t>
  </si>
  <si>
    <t xml:space="preserve">     Greater than 6 Hours but less than  10 Hour Hour EPR Worksheet</t>
  </si>
  <si>
    <t xml:space="preserve">      Greater than 6 Hours but less than 10 Hours  DSP Worksheet</t>
  </si>
  <si>
    <t>Upload original pdf version of worksheet into USTEPS</t>
  </si>
  <si>
    <t>Supports while I am at a employment preparation services</t>
  </si>
  <si>
    <t>E8-E9,  F8-F9</t>
  </si>
  <si>
    <t>G8-G9</t>
  </si>
  <si>
    <t>E25</t>
  </si>
  <si>
    <t>H8-H11</t>
  </si>
  <si>
    <t>Enter Hrs./Day, Hrs/Month is rarely used</t>
  </si>
  <si>
    <t>I9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</si>
</sst>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quot;$&quot;#,##0.00_);\(&quot;$&quot;#,##0.00\)"/>
    <numFmt numFmtId="44" formatCode="_(&quot;$&quot;* #,##0.00_);_(&quot;$&quot;* \(#,##0.00\);_(&quot;$&quot;* &quot;-&quot;??_);_(@_)"/>
    <numFmt numFmtId="43" formatCode="_(* #,##0.00_);_(* \(#,##0.00\);_(* &quot;-&quot;??_);_(@_)"/>
    <numFmt numFmtId="164" formatCode="General_)"/>
    <numFmt numFmtId="165" formatCode="0.0%"/>
    <numFmt numFmtId="166" formatCode="dd\-mmm\-yy_)"/>
    <numFmt numFmtId="167" formatCode="0.0"/>
    <numFmt numFmtId="168" formatCode="&quot;$&quot;#,##0.00"/>
    <numFmt numFmtId="169" formatCode="_ &quot;R&quot;\ * #,##0.00_ ;_ &quot;R&quot;\ * \-#,##0.00_ ;_ &quot;R&quot;\ * &quot;-&quot;??_ ;_ @_ "/>
    <numFmt numFmtId="170" formatCode="000000000"/>
    <numFmt numFmtId="171" formatCode="#,##0.0_);\(#,##0.0\)"/>
    <numFmt numFmtId="172" formatCode=";;;"/>
    <numFmt numFmtId="173" formatCode="#,##0.0"/>
    <numFmt numFmtId="174" formatCode="_(* #,##0_);_(* \(#,##0\);_(* &quot;-&quot;??_);_(@_)"/>
  </numFmts>
  <fonts count="43" x14ac:knownFonts="1">
    <font>
      <sz val="6"/>
      <name val="TIMES"/>
    </font>
    <font>
      <sz val="10"/>
      <name val="Arial"/>
      <family val="2"/>
    </font>
    <font>
      <sz val="8"/>
      <name val="TIMES"/>
    </font>
    <font>
      <sz val="8"/>
      <name val="Arial"/>
      <family val="2"/>
    </font>
    <font>
      <sz val="8"/>
      <name val="Arial"/>
      <family val="2"/>
    </font>
    <font>
      <b/>
      <sz val="12"/>
      <name val="Arial"/>
      <family val="2"/>
    </font>
    <font>
      <sz val="8"/>
      <color indexed="81"/>
      <name val="Tahoma"/>
      <family val="2"/>
    </font>
    <font>
      <b/>
      <sz val="8"/>
      <color indexed="81"/>
      <name val="Tahoma"/>
      <family val="2"/>
    </font>
    <font>
      <sz val="9"/>
      <color indexed="81"/>
      <name val="Tahoma"/>
      <family val="2"/>
    </font>
    <font>
      <sz val="10"/>
      <color indexed="81"/>
      <name val="Tahoma"/>
      <family val="2"/>
    </font>
    <font>
      <sz val="11"/>
      <color indexed="81"/>
      <name val="Tahoma"/>
      <family val="2"/>
    </font>
    <font>
      <b/>
      <sz val="9"/>
      <color indexed="81"/>
      <name val="Tahoma"/>
      <family val="2"/>
    </font>
    <font>
      <sz val="6"/>
      <name val="TIMES"/>
    </font>
    <font>
      <sz val="8"/>
      <name val="Open Sans"/>
    </font>
    <font>
      <b/>
      <sz val="8"/>
      <name val="Open Sans"/>
    </font>
    <font>
      <b/>
      <sz val="10"/>
      <name val="Open Sans"/>
    </font>
    <font>
      <sz val="6"/>
      <name val="Open Sans"/>
    </font>
    <font>
      <sz val="11"/>
      <name val="Open Sans"/>
    </font>
    <font>
      <b/>
      <sz val="9"/>
      <name val="Open Sans"/>
    </font>
    <font>
      <sz val="9"/>
      <name val="Open Sans"/>
    </font>
    <font>
      <sz val="10"/>
      <name val="Open Sans"/>
    </font>
    <font>
      <b/>
      <sz val="6"/>
      <name val="Open Sans"/>
    </font>
    <font>
      <b/>
      <sz val="10"/>
      <color indexed="10"/>
      <name val="Open Sans"/>
    </font>
    <font>
      <b/>
      <u/>
      <sz val="10"/>
      <name val="Open Sans"/>
    </font>
    <font>
      <b/>
      <sz val="11"/>
      <name val="Open Sans"/>
    </font>
    <font>
      <b/>
      <sz val="11"/>
      <color indexed="62"/>
      <name val="Open Sans"/>
    </font>
    <font>
      <sz val="11"/>
      <color indexed="10"/>
      <name val="Open Sans"/>
    </font>
    <font>
      <sz val="11"/>
      <color rgb="FFFF0000"/>
      <name val="Open Sans"/>
    </font>
    <font>
      <sz val="10"/>
      <color indexed="10"/>
      <name val="Open Sans"/>
    </font>
    <font>
      <b/>
      <sz val="20"/>
      <color theme="0"/>
      <name val="Open Sans"/>
    </font>
    <font>
      <b/>
      <sz val="11"/>
      <color theme="0"/>
      <name val="Open Sans"/>
    </font>
    <font>
      <b/>
      <sz val="14"/>
      <color theme="0"/>
      <name val="Open Sans"/>
    </font>
    <font>
      <b/>
      <sz val="10"/>
      <color theme="0"/>
      <name val="Open Sans"/>
    </font>
    <font>
      <sz val="14"/>
      <color theme="0"/>
      <name val="Open Sans"/>
    </font>
    <font>
      <sz val="10"/>
      <color theme="0"/>
      <name val="Open Sans"/>
    </font>
    <font>
      <b/>
      <sz val="10"/>
      <color theme="1"/>
      <name val="Open Sans"/>
    </font>
    <font>
      <sz val="10"/>
      <color theme="1"/>
      <name val="Open Sans"/>
    </font>
    <font>
      <b/>
      <sz val="6"/>
      <color theme="0"/>
      <name val="Open Sans"/>
    </font>
    <font>
      <sz val="7"/>
      <name val="Open Sans"/>
    </font>
    <font>
      <sz val="11"/>
      <color theme="1"/>
      <name val="Open Sans"/>
    </font>
    <font>
      <sz val="11"/>
      <color rgb="FF009999"/>
      <name val="Open Sans"/>
    </font>
    <font>
      <b/>
      <sz val="11"/>
      <color rgb="FF009999"/>
      <name val="Open Sans"/>
    </font>
    <font>
      <sz val="12"/>
      <name val="Open Sans"/>
    </font>
  </fonts>
  <fills count="2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8"/>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44"/>
        <bgColor indexed="64"/>
      </patternFill>
    </fill>
    <fill>
      <patternFill patternType="solid">
        <fgColor rgb="FFCCFFFF"/>
        <bgColor indexed="64"/>
      </patternFill>
    </fill>
    <fill>
      <patternFill patternType="solid">
        <fgColor rgb="FFCCFFCC"/>
        <bgColor indexed="64"/>
      </patternFill>
    </fill>
    <fill>
      <patternFill patternType="solid">
        <fgColor rgb="FF92D05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0A0C4A"/>
        <bgColor indexed="64"/>
      </patternFill>
    </fill>
    <fill>
      <patternFill patternType="solid">
        <fgColor rgb="FFA0E6F2"/>
        <bgColor indexed="64"/>
      </patternFill>
    </fill>
    <fill>
      <patternFill patternType="solid">
        <fgColor rgb="FFC0C0C0"/>
        <bgColor indexed="64"/>
      </patternFill>
    </fill>
    <fill>
      <patternFill patternType="solid">
        <fgColor rgb="FFFFEEBD"/>
        <bgColor indexed="64"/>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8"/>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8"/>
      </left>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8"/>
      </top>
      <bottom style="thin">
        <color indexed="64"/>
      </bottom>
      <diagonal/>
    </border>
    <border>
      <left style="medium">
        <color indexed="64"/>
      </left>
      <right style="medium">
        <color indexed="64"/>
      </right>
      <top style="thin">
        <color indexed="8"/>
      </top>
      <bottom style="medium">
        <color indexed="64"/>
      </bottom>
      <diagonal/>
    </border>
    <border>
      <left style="thin">
        <color indexed="8"/>
      </left>
      <right/>
      <top style="thin">
        <color indexed="8"/>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right/>
      <top style="double">
        <color indexed="64"/>
      </top>
      <bottom/>
      <diagonal/>
    </border>
    <border>
      <left style="thin">
        <color indexed="8"/>
      </left>
      <right style="thin">
        <color indexed="64"/>
      </right>
      <top style="thin">
        <color indexed="8"/>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s>
  <cellStyleXfs count="12">
    <xf numFmtId="164" fontId="0" fillId="0" borderId="0"/>
    <xf numFmtId="43" fontId="1" fillId="0" borderId="0" applyFont="0" applyFill="0" applyBorder="0" applyAlignment="0" applyProtection="0"/>
    <xf numFmtId="44" fontId="1" fillId="0" borderId="0" applyFont="0" applyFill="0" applyBorder="0" applyAlignment="0" applyProtection="0"/>
    <xf numFmtId="38" fontId="4" fillId="2" borderId="0" applyNumberFormat="0" applyBorder="0" applyAlignment="0" applyProtection="0"/>
    <xf numFmtId="38" fontId="3" fillId="2" borderId="0" applyNumberFormat="0" applyBorder="0" applyAlignment="0" applyProtection="0"/>
    <xf numFmtId="0" fontId="5" fillId="0" borderId="1" applyNumberFormat="0" applyAlignment="0" applyProtection="0">
      <alignment horizontal="left" vertical="center"/>
    </xf>
    <xf numFmtId="0" fontId="5" fillId="0" borderId="2">
      <alignment horizontal="left" vertical="center"/>
    </xf>
    <xf numFmtId="10" fontId="4" fillId="3" borderId="3" applyNumberFormat="0" applyBorder="0" applyAlignment="0" applyProtection="0"/>
    <xf numFmtId="10" fontId="3" fillId="3" borderId="3" applyNumberFormat="0" applyBorder="0" applyAlignment="0" applyProtection="0"/>
    <xf numFmtId="169" fontId="1" fillId="0" borderId="0"/>
    <xf numFmtId="10" fontId="1" fillId="0" borderId="0" applyFont="0" applyFill="0" applyBorder="0" applyAlignment="0" applyProtection="0"/>
    <xf numFmtId="9" fontId="12" fillId="0" borderId="0" applyFont="0" applyFill="0" applyBorder="0" applyAlignment="0" applyProtection="0"/>
  </cellStyleXfs>
  <cellXfs count="448">
    <xf numFmtId="164" fontId="0" fillId="0" borderId="0" xfId="0"/>
    <xf numFmtId="164" fontId="13" fillId="0" borderId="0" xfId="0" applyNumberFormat="1" applyFont="1" applyAlignment="1" applyProtection="1">
      <alignment horizontal="left"/>
    </xf>
    <xf numFmtId="3" fontId="13" fillId="0" borderId="0" xfId="0" applyNumberFormat="1" applyFont="1"/>
    <xf numFmtId="164" fontId="13" fillId="0" borderId="0" xfId="0" applyFont="1"/>
    <xf numFmtId="164" fontId="13" fillId="0" borderId="0" xfId="0" applyFont="1" applyAlignment="1" applyProtection="1">
      <alignment horizontal="left"/>
      <protection hidden="1"/>
    </xf>
    <xf numFmtId="164" fontId="13" fillId="0" borderId="0" xfId="0" applyFont="1" applyProtection="1">
      <protection hidden="1"/>
    </xf>
    <xf numFmtId="164" fontId="15" fillId="0" borderId="0" xfId="0" applyNumberFormat="1" applyFont="1" applyBorder="1" applyAlignment="1" applyProtection="1">
      <alignment horizontal="center"/>
      <protection hidden="1"/>
    </xf>
    <xf numFmtId="164" fontId="14" fillId="0" borderId="0" xfId="0" applyFont="1" applyFill="1" applyBorder="1" applyProtection="1">
      <protection hidden="1"/>
    </xf>
    <xf numFmtId="164" fontId="15" fillId="0" borderId="0" xfId="0" applyFont="1" applyFill="1" applyBorder="1" applyProtection="1">
      <protection hidden="1"/>
    </xf>
    <xf numFmtId="164" fontId="13" fillId="0" borderId="0" xfId="0" applyFont="1" applyFill="1" applyBorder="1" applyProtection="1">
      <protection hidden="1"/>
    </xf>
    <xf numFmtId="164" fontId="13" fillId="0" borderId="0" xfId="0" applyNumberFormat="1" applyFont="1" applyProtection="1">
      <protection hidden="1"/>
    </xf>
    <xf numFmtId="164" fontId="14" fillId="0" borderId="0" xfId="0" applyFont="1" applyProtection="1">
      <protection hidden="1"/>
    </xf>
    <xf numFmtId="164" fontId="13" fillId="0" borderId="0" xfId="0" applyFont="1" applyProtection="1"/>
    <xf numFmtId="164" fontId="19" fillId="0" borderId="0" xfId="0" applyFont="1" applyFill="1" applyBorder="1" applyProtection="1"/>
    <xf numFmtId="7" fontId="13" fillId="0" borderId="0" xfId="0" applyNumberFormat="1" applyFont="1" applyFill="1" applyBorder="1" applyProtection="1">
      <protection hidden="1"/>
    </xf>
    <xf numFmtId="174" fontId="13" fillId="0" borderId="0" xfId="1" applyNumberFormat="1" applyFont="1" applyFill="1" applyBorder="1" applyProtection="1">
      <protection hidden="1"/>
    </xf>
    <xf numFmtId="2" fontId="13" fillId="0" borderId="0" xfId="0" applyNumberFormat="1" applyFont="1" applyFill="1" applyBorder="1"/>
    <xf numFmtId="164" fontId="13" fillId="0" borderId="0" xfId="0" applyFont="1" applyFill="1" applyBorder="1" applyProtection="1"/>
    <xf numFmtId="164" fontId="13" fillId="0" borderId="0" xfId="0" applyFont="1" applyFill="1" applyBorder="1" applyAlignment="1" applyProtection="1">
      <alignment horizontal="center"/>
    </xf>
    <xf numFmtId="164" fontId="13" fillId="0" borderId="0" xfId="0" applyFont="1" applyBorder="1"/>
    <xf numFmtId="3" fontId="13" fillId="0" borderId="0" xfId="0" applyNumberFormat="1" applyFont="1" applyBorder="1" applyAlignment="1">
      <alignment horizontal="center"/>
    </xf>
    <xf numFmtId="4" fontId="13" fillId="0" borderId="0" xfId="0" applyNumberFormat="1" applyFont="1" applyBorder="1" applyAlignment="1" applyProtection="1">
      <alignment horizontal="center"/>
    </xf>
    <xf numFmtId="164" fontId="14" fillId="0" borderId="0" xfId="0" applyNumberFormat="1" applyFont="1" applyBorder="1" applyAlignment="1" applyProtection="1">
      <alignment horizontal="left"/>
    </xf>
    <xf numFmtId="4" fontId="13" fillId="0" borderId="0" xfId="0" applyNumberFormat="1" applyFont="1" applyProtection="1"/>
    <xf numFmtId="164" fontId="14" fillId="0" borderId="0" xfId="0" applyFont="1" applyAlignment="1" applyProtection="1">
      <alignment horizontal="center"/>
    </xf>
    <xf numFmtId="168" fontId="13" fillId="8" borderId="9" xfId="0" applyNumberFormat="1" applyFont="1" applyFill="1" applyBorder="1" applyProtection="1"/>
    <xf numFmtId="4" fontId="13" fillId="0" borderId="0" xfId="0" applyNumberFormat="1" applyFont="1"/>
    <xf numFmtId="164" fontId="13" fillId="0" borderId="0" xfId="0" quotePrefix="1" applyNumberFormat="1" applyFont="1" applyAlignment="1" applyProtection="1">
      <alignment horizontal="left"/>
      <protection hidden="1"/>
    </xf>
    <xf numFmtId="164" fontId="16" fillId="0" borderId="0" xfId="0" applyFont="1" applyProtection="1">
      <protection hidden="1"/>
    </xf>
    <xf numFmtId="164" fontId="15" fillId="0" borderId="0" xfId="0" applyNumberFormat="1" applyFont="1" applyAlignment="1" applyProtection="1">
      <alignment horizontal="left"/>
      <protection hidden="1"/>
    </xf>
    <xf numFmtId="164" fontId="15" fillId="0" borderId="0" xfId="0" applyNumberFormat="1" applyFont="1" applyAlignment="1" applyProtection="1">
      <alignment horizontal="center"/>
      <protection hidden="1"/>
    </xf>
    <xf numFmtId="164" fontId="15" fillId="0" borderId="0" xfId="0" applyNumberFormat="1" applyFont="1" applyFill="1" applyProtection="1">
      <protection hidden="1"/>
    </xf>
    <xf numFmtId="164" fontId="15" fillId="0" borderId="6" xfId="0" applyNumberFormat="1" applyFont="1" applyBorder="1" applyAlignment="1" applyProtection="1">
      <alignment horizontal="left"/>
      <protection hidden="1"/>
    </xf>
    <xf numFmtId="164" fontId="23" fillId="0" borderId="6" xfId="0" applyNumberFormat="1" applyFont="1" applyBorder="1" applyAlignment="1" applyProtection="1">
      <protection hidden="1"/>
    </xf>
    <xf numFmtId="170" fontId="15" fillId="0" borderId="6" xfId="0" applyNumberFormat="1" applyFont="1" applyBorder="1" applyAlignment="1" applyProtection="1">
      <alignment horizontal="center"/>
      <protection hidden="1"/>
    </xf>
    <xf numFmtId="164" fontId="15" fillId="0" borderId="6" xfId="0" applyNumberFormat="1" applyFont="1" applyFill="1" applyBorder="1" applyAlignment="1" applyProtection="1">
      <alignment horizontal="center"/>
      <protection hidden="1"/>
    </xf>
    <xf numFmtId="14" fontId="15" fillId="0" borderId="6" xfId="0" applyNumberFormat="1" applyFont="1" applyFill="1" applyBorder="1" applyAlignment="1" applyProtection="1">
      <alignment horizontal="center"/>
      <protection hidden="1"/>
    </xf>
    <xf numFmtId="164" fontId="16" fillId="0" borderId="0" xfId="0" applyFont="1" applyFill="1" applyProtection="1">
      <protection hidden="1"/>
    </xf>
    <xf numFmtId="164" fontId="20" fillId="0" borderId="0" xfId="0" applyNumberFormat="1" applyFont="1" applyFill="1" applyBorder="1" applyProtection="1">
      <protection hidden="1"/>
    </xf>
    <xf numFmtId="164" fontId="16" fillId="0" borderId="0" xfId="0" applyFont="1" applyFill="1" applyBorder="1" applyProtection="1">
      <protection hidden="1"/>
    </xf>
    <xf numFmtId="164" fontId="14" fillId="0" borderId="0" xfId="0" applyNumberFormat="1" applyFont="1" applyBorder="1" applyProtection="1">
      <protection hidden="1"/>
    </xf>
    <xf numFmtId="164" fontId="13" fillId="0" borderId="0" xfId="0" applyNumberFormat="1" applyFont="1" applyBorder="1" applyProtection="1">
      <protection hidden="1"/>
    </xf>
    <xf numFmtId="164" fontId="13" fillId="0" borderId="0" xfId="0" applyNumberFormat="1" applyFont="1" applyBorder="1" applyAlignment="1" applyProtection="1">
      <alignment horizontal="left"/>
      <protection hidden="1"/>
    </xf>
    <xf numFmtId="164" fontId="13" fillId="0" borderId="0" xfId="0" applyNumberFormat="1" applyFont="1" applyAlignment="1" applyProtection="1">
      <alignment horizontal="left"/>
      <protection hidden="1"/>
    </xf>
    <xf numFmtId="164" fontId="14" fillId="0" borderId="0" xfId="0" applyNumberFormat="1" applyFont="1" applyBorder="1" applyAlignment="1" applyProtection="1">
      <alignment horizontal="right"/>
      <protection hidden="1"/>
    </xf>
    <xf numFmtId="164" fontId="14" fillId="0" borderId="0" xfId="0" applyNumberFormat="1" applyFont="1" applyBorder="1" applyAlignment="1" applyProtection="1">
      <alignment horizontal="left"/>
      <protection hidden="1"/>
    </xf>
    <xf numFmtId="7" fontId="13" fillId="0" borderId="0" xfId="0" applyNumberFormat="1" applyFont="1" applyBorder="1" applyProtection="1">
      <protection hidden="1"/>
    </xf>
    <xf numFmtId="164" fontId="13" fillId="0" borderId="0" xfId="0" applyNumberFormat="1" applyFont="1" applyFill="1" applyBorder="1" applyProtection="1">
      <protection hidden="1"/>
    </xf>
    <xf numFmtId="164" fontId="18" fillId="0" borderId="0" xfId="0" applyNumberFormat="1" applyFont="1" applyFill="1" applyBorder="1" applyAlignment="1" applyProtection="1">
      <alignment horizontal="right"/>
      <protection hidden="1"/>
    </xf>
    <xf numFmtId="164" fontId="19" fillId="0" borderId="0" xfId="0" applyFont="1" applyFill="1" applyBorder="1" applyProtection="1">
      <protection hidden="1"/>
    </xf>
    <xf numFmtId="164" fontId="19" fillId="0" borderId="0" xfId="0" applyNumberFormat="1" applyFont="1" applyFill="1" applyBorder="1" applyProtection="1">
      <protection hidden="1"/>
    </xf>
    <xf numFmtId="164" fontId="18" fillId="0" borderId="0" xfId="0" applyFont="1" applyFill="1" applyBorder="1" applyAlignment="1" applyProtection="1">
      <alignment horizontal="right"/>
      <protection hidden="1"/>
    </xf>
    <xf numFmtId="164" fontId="18" fillId="0" borderId="0" xfId="0" applyNumberFormat="1" applyFont="1" applyFill="1" applyBorder="1" applyAlignment="1" applyProtection="1">
      <alignment horizontal="center"/>
      <protection hidden="1"/>
    </xf>
    <xf numFmtId="164" fontId="18" fillId="0" borderId="0" xfId="0" applyFont="1" applyFill="1" applyBorder="1" applyAlignment="1" applyProtection="1">
      <alignment horizontal="center"/>
      <protection hidden="1"/>
    </xf>
    <xf numFmtId="168" fontId="19" fillId="0" borderId="0" xfId="2" applyNumberFormat="1" applyFont="1" applyFill="1" applyBorder="1" applyAlignment="1" applyProtection="1">
      <alignment horizontal="center"/>
      <protection hidden="1"/>
    </xf>
    <xf numFmtId="164" fontId="18" fillId="0" borderId="0" xfId="0" applyNumberFormat="1" applyFont="1" applyFill="1" applyBorder="1" applyAlignment="1" applyProtection="1">
      <alignment horizontal="right"/>
    </xf>
    <xf numFmtId="49" fontId="18" fillId="0" borderId="0" xfId="0" applyNumberFormat="1" applyFont="1" applyFill="1" applyBorder="1" applyProtection="1"/>
    <xf numFmtId="164" fontId="18" fillId="0" borderId="0" xfId="0" applyNumberFormat="1" applyFont="1" applyFill="1" applyBorder="1" applyAlignment="1" applyProtection="1">
      <alignment horizontal="left"/>
    </xf>
    <xf numFmtId="164" fontId="18" fillId="0" borderId="0" xfId="0" applyNumberFormat="1" applyFont="1" applyFill="1" applyBorder="1" applyProtection="1">
      <protection hidden="1"/>
    </xf>
    <xf numFmtId="164" fontId="20" fillId="0" borderId="0" xfId="0" applyFont="1" applyProtection="1">
      <protection hidden="1"/>
    </xf>
    <xf numFmtId="164" fontId="19" fillId="0" borderId="0" xfId="0" applyFont="1" applyFill="1" applyBorder="1" applyAlignment="1" applyProtection="1">
      <alignment horizontal="center"/>
    </xf>
    <xf numFmtId="168" fontId="19" fillId="0" borderId="0" xfId="0" applyNumberFormat="1" applyFont="1" applyFill="1" applyBorder="1" applyProtection="1"/>
    <xf numFmtId="1" fontId="19" fillId="0" borderId="0" xfId="0" applyNumberFormat="1" applyFont="1" applyFill="1" applyBorder="1" applyProtection="1"/>
    <xf numFmtId="49" fontId="19" fillId="0" borderId="0" xfId="0" applyNumberFormat="1" applyFont="1" applyFill="1" applyBorder="1" applyAlignment="1" applyProtection="1">
      <alignment horizontal="center"/>
      <protection hidden="1"/>
    </xf>
    <xf numFmtId="15" fontId="19" fillId="0" borderId="0" xfId="0" applyNumberFormat="1" applyFont="1" applyFill="1" applyBorder="1" applyProtection="1"/>
    <xf numFmtId="49" fontId="19" fillId="0" borderId="0" xfId="0" applyNumberFormat="1" applyFont="1" applyFill="1" applyBorder="1" applyAlignment="1" applyProtection="1">
      <alignment horizontal="center"/>
    </xf>
    <xf numFmtId="164" fontId="14" fillId="0" borderId="0" xfId="0" applyNumberFormat="1" applyFont="1" applyFill="1" applyBorder="1" applyAlignment="1" applyProtection="1">
      <alignment horizontal="left"/>
      <protection hidden="1"/>
    </xf>
    <xf numFmtId="164" fontId="21" fillId="0" borderId="0" xfId="0" applyFont="1" applyFill="1" applyBorder="1" applyProtection="1">
      <protection hidden="1"/>
    </xf>
    <xf numFmtId="164" fontId="21" fillId="0" borderId="0" xfId="0" applyFont="1" applyProtection="1">
      <protection hidden="1"/>
    </xf>
    <xf numFmtId="164" fontId="14" fillId="0" borderId="0" xfId="0" applyFont="1" applyFill="1" applyBorder="1" applyAlignment="1" applyProtection="1">
      <alignment horizontal="right"/>
      <protection hidden="1"/>
    </xf>
    <xf numFmtId="15" fontId="13" fillId="0" borderId="0" xfId="0" applyNumberFormat="1" applyFont="1" applyAlignment="1" applyProtection="1">
      <alignment horizontal="left"/>
      <protection hidden="1"/>
    </xf>
    <xf numFmtId="164" fontId="13" fillId="0" borderId="0" xfId="0" quotePrefix="1" applyNumberFormat="1" applyFont="1" applyBorder="1" applyAlignment="1" applyProtection="1">
      <alignment horizontal="left"/>
      <protection hidden="1"/>
    </xf>
    <xf numFmtId="164" fontId="13" fillId="0" borderId="0" xfId="0" applyNumberFormat="1" applyFont="1" applyBorder="1" applyAlignment="1" applyProtection="1">
      <alignment horizontal="center"/>
      <protection hidden="1"/>
    </xf>
    <xf numFmtId="164" fontId="16" fillId="0" borderId="0" xfId="0" applyFont="1" applyBorder="1" applyProtection="1">
      <protection hidden="1"/>
    </xf>
    <xf numFmtId="166" fontId="13" fillId="0" borderId="0" xfId="0" applyNumberFormat="1" applyFont="1" applyBorder="1" applyProtection="1">
      <protection hidden="1"/>
    </xf>
    <xf numFmtId="7" fontId="13" fillId="0" borderId="0" xfId="0" applyNumberFormat="1" applyFont="1" applyProtection="1">
      <protection hidden="1"/>
    </xf>
    <xf numFmtId="164" fontId="20" fillId="0" borderId="0" xfId="0" applyNumberFormat="1" applyFont="1" applyProtection="1">
      <protection hidden="1"/>
    </xf>
    <xf numFmtId="2" fontId="20" fillId="0" borderId="0" xfId="0" applyNumberFormat="1" applyFont="1" applyBorder="1" applyProtection="1">
      <protection hidden="1"/>
    </xf>
    <xf numFmtId="164" fontId="20" fillId="0" borderId="0" xfId="0" applyFont="1" applyBorder="1" applyProtection="1">
      <protection hidden="1"/>
    </xf>
    <xf numFmtId="164" fontId="15" fillId="0" borderId="6" xfId="0" applyNumberFormat="1" applyFont="1" applyFill="1" applyBorder="1" applyAlignment="1" applyProtection="1">
      <alignment horizontal="left"/>
      <protection hidden="1"/>
    </xf>
    <xf numFmtId="164" fontId="15" fillId="0" borderId="6" xfId="0" applyNumberFormat="1" applyFont="1" applyBorder="1" applyAlignment="1" applyProtection="1">
      <alignment horizontal="center"/>
      <protection hidden="1"/>
    </xf>
    <xf numFmtId="164" fontId="20" fillId="0" borderId="0" xfId="0" applyNumberFormat="1" applyFont="1" applyBorder="1" applyProtection="1">
      <protection hidden="1"/>
    </xf>
    <xf numFmtId="164" fontId="20" fillId="0" borderId="7" xfId="0" applyNumberFormat="1" applyFont="1" applyBorder="1" applyProtection="1">
      <protection hidden="1"/>
    </xf>
    <xf numFmtId="164" fontId="15" fillId="0" borderId="7" xfId="0" applyNumberFormat="1" applyFont="1" applyBorder="1" applyProtection="1">
      <protection hidden="1"/>
    </xf>
    <xf numFmtId="164" fontId="15" fillId="0" borderId="0" xfId="0" applyNumberFormat="1" applyFont="1" applyBorder="1" applyProtection="1">
      <protection hidden="1"/>
    </xf>
    <xf numFmtId="164" fontId="23" fillId="0" borderId="0" xfId="0" applyNumberFormat="1" applyFont="1" applyAlignment="1" applyProtection="1">
      <alignment horizontal="left"/>
      <protection hidden="1"/>
    </xf>
    <xf numFmtId="168" fontId="20" fillId="0" borderId="0" xfId="0" applyNumberFormat="1" applyFont="1" applyBorder="1" applyAlignment="1" applyProtection="1">
      <alignment horizontal="center"/>
      <protection hidden="1"/>
    </xf>
    <xf numFmtId="164" fontId="20" fillId="0" borderId="0" xfId="0" applyNumberFormat="1" applyFont="1" applyAlignment="1" applyProtection="1">
      <alignment horizontal="left"/>
      <protection hidden="1"/>
    </xf>
    <xf numFmtId="7" fontId="20" fillId="0" borderId="24" xfId="0" applyNumberFormat="1" applyFont="1" applyBorder="1" applyAlignment="1" applyProtection="1">
      <alignment horizontal="center"/>
      <protection hidden="1"/>
    </xf>
    <xf numFmtId="7" fontId="20" fillId="12" borderId="3" xfId="0" applyNumberFormat="1" applyFont="1" applyFill="1" applyBorder="1" applyAlignment="1" applyProtection="1">
      <alignment horizontal="center"/>
      <protection hidden="1"/>
    </xf>
    <xf numFmtId="7" fontId="20" fillId="0" borderId="25" xfId="0" applyNumberFormat="1" applyFont="1" applyBorder="1" applyAlignment="1" applyProtection="1">
      <alignment horizontal="center"/>
      <protection hidden="1"/>
    </xf>
    <xf numFmtId="164" fontId="20" fillId="0" borderId="0" xfId="0" quotePrefix="1" applyNumberFormat="1" applyFont="1" applyBorder="1" applyAlignment="1" applyProtection="1">
      <alignment horizontal="center"/>
      <protection hidden="1"/>
    </xf>
    <xf numFmtId="7" fontId="20" fillId="0" borderId="0" xfId="0" applyNumberFormat="1" applyFont="1" applyBorder="1" applyAlignment="1" applyProtection="1">
      <alignment horizontal="center"/>
      <protection hidden="1"/>
    </xf>
    <xf numFmtId="164" fontId="15" fillId="0" borderId="0" xfId="0" applyFont="1" applyAlignment="1" applyProtection="1">
      <alignment horizontal="center"/>
      <protection hidden="1"/>
    </xf>
    <xf numFmtId="168" fontId="20" fillId="0" borderId="0" xfId="0" applyNumberFormat="1" applyFont="1" applyFill="1" applyBorder="1" applyAlignment="1" applyProtection="1">
      <alignment horizontal="center"/>
      <protection hidden="1"/>
    </xf>
    <xf numFmtId="7" fontId="20" fillId="4" borderId="0" xfId="0" applyNumberFormat="1" applyFont="1" applyFill="1" applyBorder="1" applyAlignment="1" applyProtection="1">
      <alignment horizontal="center"/>
      <protection hidden="1"/>
    </xf>
    <xf numFmtId="164" fontId="15" fillId="0" borderId="0" xfId="0" applyNumberFormat="1" applyFont="1" applyBorder="1" applyAlignment="1" applyProtection="1">
      <alignment horizontal="right"/>
      <protection hidden="1"/>
    </xf>
    <xf numFmtId="167" fontId="15" fillId="0" borderId="0" xfId="0" applyNumberFormat="1" applyFont="1" applyFill="1" applyBorder="1" applyAlignment="1" applyProtection="1">
      <alignment horizontal="center"/>
      <protection hidden="1"/>
    </xf>
    <xf numFmtId="7" fontId="20" fillId="0" borderId="0" xfId="0" applyNumberFormat="1" applyFont="1" applyAlignment="1" applyProtection="1">
      <alignment horizontal="left"/>
      <protection hidden="1"/>
    </xf>
    <xf numFmtId="7" fontId="15" fillId="0" borderId="0" xfId="0" applyNumberFormat="1" applyFont="1" applyBorder="1" applyAlignment="1" applyProtection="1">
      <alignment horizontal="center"/>
      <protection hidden="1"/>
    </xf>
    <xf numFmtId="164" fontId="15" fillId="0" borderId="0" xfId="0" quotePrefix="1" applyNumberFormat="1" applyFont="1" applyAlignment="1" applyProtection="1">
      <alignment horizontal="left"/>
      <protection hidden="1"/>
    </xf>
    <xf numFmtId="164" fontId="22" fillId="0" borderId="0" xfId="0" applyNumberFormat="1" applyFont="1" applyBorder="1" applyAlignment="1" applyProtection="1">
      <alignment horizontal="right"/>
      <protection hidden="1"/>
    </xf>
    <xf numFmtId="7" fontId="20" fillId="0" borderId="0" xfId="0" applyNumberFormat="1" applyFont="1" applyBorder="1" applyProtection="1">
      <protection hidden="1"/>
    </xf>
    <xf numFmtId="164" fontId="20" fillId="0" borderId="0" xfId="0" applyFont="1" applyFill="1" applyBorder="1" applyProtection="1">
      <protection hidden="1"/>
    </xf>
    <xf numFmtId="164" fontId="15" fillId="0" borderId="0" xfId="0" applyNumberFormat="1" applyFont="1" applyFill="1" applyBorder="1" applyAlignment="1" applyProtection="1">
      <alignment horizontal="right"/>
      <protection hidden="1"/>
    </xf>
    <xf numFmtId="164" fontId="15" fillId="0" borderId="0" xfId="0" applyFont="1" applyBorder="1" applyAlignment="1" applyProtection="1">
      <alignment horizontal="right"/>
      <protection hidden="1"/>
    </xf>
    <xf numFmtId="164" fontId="15" fillId="0" borderId="0" xfId="0" applyFont="1" applyFill="1" applyBorder="1" applyAlignment="1" applyProtection="1">
      <alignment horizontal="center"/>
      <protection hidden="1"/>
    </xf>
    <xf numFmtId="168" fontId="20" fillId="0" borderId="0" xfId="2" applyNumberFormat="1" applyFont="1" applyFill="1" applyBorder="1" applyAlignment="1" applyProtection="1">
      <alignment horizontal="center"/>
      <protection hidden="1"/>
    </xf>
    <xf numFmtId="49" fontId="13" fillId="0" borderId="0" xfId="0" applyNumberFormat="1" applyFont="1" applyFill="1" applyBorder="1" applyProtection="1"/>
    <xf numFmtId="164" fontId="18" fillId="0" borderId="0" xfId="0" applyNumberFormat="1" applyFont="1" applyFill="1" applyBorder="1" applyAlignment="1" applyProtection="1">
      <alignment horizontal="left"/>
      <protection hidden="1"/>
    </xf>
    <xf numFmtId="164" fontId="15" fillId="0" borderId="0" xfId="0" applyNumberFormat="1" applyFont="1" applyProtection="1">
      <protection hidden="1"/>
    </xf>
    <xf numFmtId="164" fontId="15" fillId="0" borderId="0" xfId="0" applyFont="1" applyProtection="1">
      <protection hidden="1"/>
    </xf>
    <xf numFmtId="164" fontId="15" fillId="0" borderId="0" xfId="0" applyNumberFormat="1" applyFont="1" applyFill="1" applyBorder="1" applyAlignment="1" applyProtection="1">
      <alignment horizontal="left"/>
      <protection hidden="1"/>
    </xf>
    <xf numFmtId="164" fontId="15" fillId="0" borderId="0" xfId="0" applyFont="1" applyFill="1" applyBorder="1" applyAlignment="1" applyProtection="1">
      <alignment horizontal="right"/>
      <protection hidden="1"/>
    </xf>
    <xf numFmtId="164" fontId="15" fillId="0" borderId="0" xfId="0" applyNumberFormat="1" applyFont="1" applyFill="1" applyBorder="1" applyProtection="1">
      <protection hidden="1"/>
    </xf>
    <xf numFmtId="15" fontId="20" fillId="0" borderId="0" xfId="0" applyNumberFormat="1" applyFont="1" applyAlignment="1" applyProtection="1">
      <alignment horizontal="left"/>
      <protection hidden="1"/>
    </xf>
    <xf numFmtId="164" fontId="20" fillId="0" borderId="28" xfId="0" applyNumberFormat="1" applyFont="1" applyBorder="1" applyProtection="1">
      <protection hidden="1"/>
    </xf>
    <xf numFmtId="164" fontId="17" fillId="0" borderId="0" xfId="0" applyFont="1"/>
    <xf numFmtId="164" fontId="17" fillId="0" borderId="0" xfId="0" applyNumberFormat="1" applyFont="1" applyProtection="1"/>
    <xf numFmtId="164" fontId="24" fillId="0" borderId="0" xfId="0" applyFont="1" applyAlignment="1">
      <alignment horizontal="center"/>
    </xf>
    <xf numFmtId="164" fontId="20" fillId="0" borderId="0" xfId="0" applyNumberFormat="1" applyFont="1" applyFill="1" applyProtection="1">
      <protection hidden="1"/>
    </xf>
    <xf numFmtId="164" fontId="15" fillId="0" borderId="0" xfId="0" quotePrefix="1" applyNumberFormat="1" applyFont="1" applyAlignment="1" applyProtection="1">
      <alignment horizontal="right"/>
      <protection hidden="1"/>
    </xf>
    <xf numFmtId="164" fontId="15" fillId="0" borderId="3" xfId="0" applyNumberFormat="1" applyFont="1" applyBorder="1" applyAlignment="1" applyProtection="1">
      <alignment horizontal="center"/>
      <protection hidden="1"/>
    </xf>
    <xf numFmtId="164" fontId="15" fillId="0" borderId="3" xfId="0" applyNumberFormat="1" applyFont="1" applyFill="1" applyBorder="1" applyAlignment="1" applyProtection="1">
      <alignment horizontal="center"/>
      <protection hidden="1"/>
    </xf>
    <xf numFmtId="164" fontId="15" fillId="0" borderId="4" xfId="0" applyNumberFormat="1" applyFont="1" applyBorder="1" applyAlignment="1" applyProtection="1">
      <alignment horizontal="center"/>
      <protection hidden="1"/>
    </xf>
    <xf numFmtId="164" fontId="20" fillId="0" borderId="4" xfId="0" applyNumberFormat="1" applyFont="1" applyBorder="1" applyAlignment="1" applyProtection="1">
      <alignment horizontal="left"/>
      <protection hidden="1"/>
    </xf>
    <xf numFmtId="164" fontId="20" fillId="0" borderId="2" xfId="0" applyNumberFormat="1" applyFont="1" applyBorder="1" applyAlignment="1" applyProtection="1">
      <alignment horizontal="left"/>
      <protection hidden="1"/>
    </xf>
    <xf numFmtId="164" fontId="20" fillId="0" borderId="9" xfId="0" applyFont="1" applyBorder="1" applyProtection="1">
      <protection hidden="1"/>
    </xf>
    <xf numFmtId="7" fontId="20" fillId="0" borderId="10" xfId="0" applyNumberFormat="1" applyFont="1" applyBorder="1" applyAlignment="1" applyProtection="1">
      <alignment horizontal="center"/>
      <protection hidden="1"/>
    </xf>
    <xf numFmtId="164" fontId="20" fillId="0" borderId="11" xfId="0" applyNumberFormat="1" applyFont="1" applyBorder="1" applyAlignment="1" applyProtection="1">
      <alignment horizontal="left"/>
      <protection hidden="1"/>
    </xf>
    <xf numFmtId="164" fontId="20" fillId="0" borderId="0" xfId="0" applyNumberFormat="1" applyFont="1" applyBorder="1" applyAlignment="1" applyProtection="1">
      <alignment horizontal="left"/>
      <protection hidden="1"/>
    </xf>
    <xf numFmtId="164" fontId="20" fillId="0" borderId="15" xfId="0" applyFont="1" applyBorder="1" applyProtection="1">
      <protection hidden="1"/>
    </xf>
    <xf numFmtId="164" fontId="20" fillId="0" borderId="18" xfId="0" applyFont="1" applyBorder="1" applyProtection="1">
      <protection hidden="1"/>
    </xf>
    <xf numFmtId="164" fontId="20" fillId="0" borderId="12" xfId="0" applyNumberFormat="1" applyFont="1" applyBorder="1" applyAlignment="1" applyProtection="1">
      <alignment horizontal="left"/>
      <protection hidden="1"/>
    </xf>
    <xf numFmtId="164" fontId="20" fillId="0" borderId="6" xfId="0" applyNumberFormat="1" applyFont="1" applyBorder="1" applyAlignment="1" applyProtection="1">
      <alignment horizontal="left"/>
      <protection hidden="1"/>
    </xf>
    <xf numFmtId="164" fontId="20" fillId="0" borderId="5" xfId="0" applyFont="1" applyBorder="1" applyProtection="1">
      <protection hidden="1"/>
    </xf>
    <xf numFmtId="7" fontId="20" fillId="15" borderId="10" xfId="0" applyNumberFormat="1" applyFont="1" applyFill="1" applyBorder="1" applyAlignment="1" applyProtection="1">
      <alignment horizontal="center"/>
      <protection hidden="1"/>
    </xf>
    <xf numFmtId="7" fontId="20" fillId="2" borderId="3" xfId="0" applyNumberFormat="1" applyFont="1" applyFill="1" applyBorder="1" applyAlignment="1" applyProtection="1">
      <alignment horizontal="center"/>
      <protection hidden="1"/>
    </xf>
    <xf numFmtId="164" fontId="20" fillId="0" borderId="13" xfId="0" applyNumberFormat="1" applyFont="1" applyBorder="1" applyAlignment="1" applyProtection="1">
      <alignment horizontal="left"/>
      <protection hidden="1"/>
    </xf>
    <xf numFmtId="164" fontId="20" fillId="0" borderId="14" xfId="0" applyNumberFormat="1" applyFont="1" applyBorder="1" applyAlignment="1" applyProtection="1">
      <alignment horizontal="left"/>
      <protection hidden="1"/>
    </xf>
    <xf numFmtId="7" fontId="20" fillId="0" borderId="10" xfId="0" applyNumberFormat="1" applyFont="1" applyFill="1" applyBorder="1" applyAlignment="1" applyProtection="1">
      <alignment horizontal="center"/>
      <protection hidden="1"/>
    </xf>
    <xf numFmtId="7" fontId="20" fillId="0" borderId="3" xfId="0" applyNumberFormat="1" applyFont="1" applyFill="1" applyBorder="1" applyAlignment="1" applyProtection="1">
      <alignment horizontal="center"/>
      <protection hidden="1"/>
    </xf>
    <xf numFmtId="7" fontId="15" fillId="0" borderId="4" xfId="0" applyNumberFormat="1" applyFont="1" applyFill="1" applyBorder="1" applyAlignment="1" applyProtection="1">
      <alignment horizontal="right"/>
      <protection hidden="1"/>
    </xf>
    <xf numFmtId="7" fontId="20" fillId="2" borderId="26" xfId="0" applyNumberFormat="1" applyFont="1" applyFill="1" applyBorder="1" applyAlignment="1" applyProtection="1">
      <alignment horizontal="center"/>
      <protection hidden="1"/>
    </xf>
    <xf numFmtId="7" fontId="20" fillId="6" borderId="3" xfId="0" applyNumberFormat="1" applyFont="1" applyFill="1" applyBorder="1" applyAlignment="1" applyProtection="1">
      <alignment horizontal="center"/>
      <protection hidden="1"/>
    </xf>
    <xf numFmtId="164" fontId="15" fillId="0" borderId="0" xfId="0" applyFont="1" applyAlignment="1" applyProtection="1">
      <alignment horizontal="right"/>
      <protection hidden="1"/>
    </xf>
    <xf numFmtId="173" fontId="15" fillId="0" borderId="0" xfId="0" applyNumberFormat="1" applyFont="1" applyFill="1" applyBorder="1" applyAlignment="1" applyProtection="1">
      <alignment horizontal="right"/>
      <protection hidden="1"/>
    </xf>
    <xf numFmtId="7" fontId="20" fillId="0" borderId="0" xfId="0" applyNumberFormat="1" applyFont="1" applyFill="1" applyBorder="1" applyAlignment="1" applyProtection="1">
      <alignment horizontal="center"/>
      <protection hidden="1"/>
    </xf>
    <xf numFmtId="164" fontId="15" fillId="0" borderId="0" xfId="0" applyNumberFormat="1" applyFont="1" applyBorder="1" applyAlignment="1" applyProtection="1">
      <alignment horizontal="left"/>
      <protection hidden="1"/>
    </xf>
    <xf numFmtId="168" fontId="20" fillId="12" borderId="3" xfId="0" applyNumberFormat="1" applyFont="1" applyFill="1" applyBorder="1" applyAlignment="1" applyProtection="1">
      <alignment horizontal="center"/>
      <protection hidden="1"/>
    </xf>
    <xf numFmtId="164" fontId="28" fillId="0" borderId="0" xfId="0" applyNumberFormat="1" applyFont="1" applyFill="1" applyBorder="1" applyProtection="1">
      <protection hidden="1"/>
    </xf>
    <xf numFmtId="164" fontId="20" fillId="0" borderId="4" xfId="0" applyFont="1" applyBorder="1" applyProtection="1">
      <protection hidden="1"/>
    </xf>
    <xf numFmtId="7" fontId="15" fillId="0" borderId="2" xfId="0" applyNumberFormat="1" applyFont="1" applyBorder="1" applyAlignment="1" applyProtection="1">
      <alignment horizontal="center"/>
      <protection hidden="1"/>
    </xf>
    <xf numFmtId="164" fontId="15" fillId="0" borderId="30" xfId="0" applyFont="1" applyBorder="1" applyAlignment="1" applyProtection="1">
      <alignment horizontal="right"/>
      <protection hidden="1"/>
    </xf>
    <xf numFmtId="164" fontId="15" fillId="0" borderId="9" xfId="0" applyNumberFormat="1" applyFont="1" applyBorder="1" applyAlignment="1" applyProtection="1">
      <alignment horizontal="center"/>
      <protection hidden="1"/>
    </xf>
    <xf numFmtId="164" fontId="20" fillId="0" borderId="2" xfId="0" applyFont="1" applyBorder="1" applyProtection="1">
      <protection hidden="1"/>
    </xf>
    <xf numFmtId="168" fontId="20" fillId="8" borderId="3" xfId="0" applyNumberFormat="1" applyFont="1" applyFill="1" applyBorder="1" applyAlignment="1" applyProtection="1">
      <alignment horizontal="center"/>
      <protection hidden="1"/>
    </xf>
    <xf numFmtId="164" fontId="15" fillId="0" borderId="0" xfId="0" applyNumberFormat="1" applyFont="1" applyFill="1" applyAlignment="1" applyProtection="1">
      <alignment horizontal="center"/>
      <protection hidden="1"/>
    </xf>
    <xf numFmtId="164" fontId="14" fillId="0" borderId="0" xfId="0" applyNumberFormat="1" applyFont="1" applyFill="1" applyBorder="1" applyProtection="1">
      <protection hidden="1"/>
    </xf>
    <xf numFmtId="164" fontId="18" fillId="0" borderId="0" xfId="0" applyNumberFormat="1" applyFont="1" applyFill="1" applyBorder="1" applyProtection="1"/>
    <xf numFmtId="168" fontId="13" fillId="0" borderId="0" xfId="2" applyNumberFormat="1" applyFont="1" applyFill="1" applyBorder="1" applyAlignment="1" applyProtection="1">
      <alignment horizontal="center"/>
      <protection hidden="1"/>
    </xf>
    <xf numFmtId="49" fontId="19" fillId="0" borderId="0" xfId="0" applyNumberFormat="1" applyFont="1" applyFill="1" applyBorder="1" applyProtection="1"/>
    <xf numFmtId="164" fontId="19" fillId="0" borderId="0" xfId="0" applyNumberFormat="1" applyFont="1" applyProtection="1">
      <protection hidden="1"/>
    </xf>
    <xf numFmtId="164" fontId="19" fillId="0" borderId="0" xfId="0" applyFont="1" applyProtection="1">
      <protection hidden="1"/>
    </xf>
    <xf numFmtId="4" fontId="19" fillId="0" borderId="0" xfId="0" applyNumberFormat="1" applyFont="1" applyFill="1" applyBorder="1" applyProtection="1"/>
    <xf numFmtId="15" fontId="19" fillId="0" borderId="0" xfId="0" applyNumberFormat="1" applyFont="1" applyFill="1" applyBorder="1" applyAlignment="1" applyProtection="1">
      <alignment horizontal="center"/>
    </xf>
    <xf numFmtId="164" fontId="14" fillId="0" borderId="0" xfId="0" applyFont="1" applyFill="1" applyBorder="1" applyAlignment="1" applyProtection="1">
      <alignment horizontal="center"/>
      <protection hidden="1"/>
    </xf>
    <xf numFmtId="164" fontId="20" fillId="0" borderId="0" xfId="0" applyFont="1" applyFill="1" applyProtection="1">
      <protection hidden="1"/>
    </xf>
    <xf numFmtId="49" fontId="15" fillId="0" borderId="0" xfId="0" applyNumberFormat="1" applyFont="1" applyBorder="1" applyAlignment="1" applyProtection="1">
      <alignment horizontal="center"/>
      <protection hidden="1"/>
    </xf>
    <xf numFmtId="164" fontId="15" fillId="0" borderId="0" xfId="0" applyNumberFormat="1" applyFont="1" applyFill="1" applyBorder="1" applyAlignment="1" applyProtection="1">
      <alignment horizontal="center"/>
      <protection hidden="1"/>
    </xf>
    <xf numFmtId="7" fontId="20" fillId="0" borderId="3" xfId="0" applyNumberFormat="1" applyFont="1" applyBorder="1" applyAlignment="1" applyProtection="1">
      <alignment horizontal="center"/>
      <protection hidden="1"/>
    </xf>
    <xf numFmtId="164" fontId="20" fillId="7" borderId="4" xfId="0" applyNumberFormat="1" applyFont="1" applyFill="1" applyBorder="1" applyAlignment="1" applyProtection="1">
      <alignment horizontal="left"/>
      <protection hidden="1"/>
    </xf>
    <xf numFmtId="164" fontId="20" fillId="7" borderId="2" xfId="0" applyNumberFormat="1" applyFont="1" applyFill="1" applyBorder="1" applyAlignment="1" applyProtection="1">
      <alignment horizontal="left"/>
      <protection hidden="1"/>
    </xf>
    <xf numFmtId="164" fontId="20" fillId="7" borderId="9" xfId="0" applyFont="1" applyFill="1" applyBorder="1" applyProtection="1">
      <protection hidden="1"/>
    </xf>
    <xf numFmtId="7" fontId="20" fillId="7" borderId="0" xfId="0" applyNumberFormat="1" applyFont="1" applyFill="1" applyBorder="1" applyAlignment="1" applyProtection="1">
      <alignment horizontal="center"/>
      <protection hidden="1"/>
    </xf>
    <xf numFmtId="164" fontId="20" fillId="7" borderId="19" xfId="0" applyNumberFormat="1" applyFont="1" applyFill="1" applyBorder="1" applyAlignment="1" applyProtection="1">
      <alignment horizontal="center"/>
      <protection hidden="1"/>
    </xf>
    <xf numFmtId="164" fontId="20" fillId="7" borderId="3" xfId="0" applyNumberFormat="1" applyFont="1" applyFill="1" applyBorder="1" applyAlignment="1" applyProtection="1">
      <alignment horizontal="center"/>
      <protection hidden="1"/>
    </xf>
    <xf numFmtId="167" fontId="20" fillId="7" borderId="4" xfId="0" applyNumberFormat="1" applyFont="1" applyFill="1" applyBorder="1" applyAlignment="1" applyProtection="1">
      <alignment horizontal="center"/>
      <protection hidden="1"/>
    </xf>
    <xf numFmtId="7" fontId="20" fillId="7" borderId="5" xfId="0" applyNumberFormat="1" applyFont="1" applyFill="1" applyBorder="1" applyAlignment="1" applyProtection="1">
      <alignment horizontal="center"/>
      <protection hidden="1"/>
    </xf>
    <xf numFmtId="7" fontId="20" fillId="7" borderId="21" xfId="0" applyNumberFormat="1" applyFont="1" applyFill="1" applyBorder="1" applyAlignment="1" applyProtection="1">
      <alignment horizontal="center"/>
      <protection hidden="1"/>
    </xf>
    <xf numFmtId="7" fontId="20" fillId="0" borderId="22" xfId="0" applyNumberFormat="1" applyFont="1" applyBorder="1" applyAlignment="1" applyProtection="1">
      <alignment horizontal="center"/>
      <protection hidden="1"/>
    </xf>
    <xf numFmtId="164" fontId="20" fillId="0" borderId="3" xfId="0" applyNumberFormat="1" applyFont="1" applyBorder="1" applyAlignment="1" applyProtection="1">
      <alignment horizontal="center"/>
      <protection locked="0"/>
    </xf>
    <xf numFmtId="164" fontId="20" fillId="8" borderId="3" xfId="0" applyNumberFormat="1" applyFont="1" applyFill="1" applyBorder="1" applyAlignment="1" applyProtection="1">
      <alignment horizontal="center"/>
      <protection hidden="1"/>
    </xf>
    <xf numFmtId="167" fontId="20" fillId="0" borderId="4" xfId="0" applyNumberFormat="1" applyFont="1" applyBorder="1" applyAlignment="1" applyProtection="1">
      <alignment horizontal="center"/>
      <protection locked="0"/>
    </xf>
    <xf numFmtId="167" fontId="20" fillId="9" borderId="23" xfId="0" applyNumberFormat="1" applyFont="1" applyFill="1" applyBorder="1" applyAlignment="1" applyProtection="1">
      <alignment horizontal="center"/>
      <protection hidden="1"/>
    </xf>
    <xf numFmtId="164" fontId="15" fillId="0" borderId="4" xfId="0" applyNumberFormat="1" applyFont="1" applyBorder="1" applyAlignment="1" applyProtection="1">
      <alignment horizontal="left"/>
      <protection hidden="1"/>
    </xf>
    <xf numFmtId="164" fontId="15" fillId="0" borderId="2" xfId="0" applyNumberFormat="1" applyFont="1" applyBorder="1" applyAlignment="1" applyProtection="1">
      <alignment horizontal="left"/>
      <protection hidden="1"/>
    </xf>
    <xf numFmtId="167" fontId="15" fillId="0" borderId="0" xfId="0" applyNumberFormat="1" applyFont="1" applyBorder="1" applyAlignment="1" applyProtection="1">
      <alignment horizontal="right"/>
      <protection hidden="1"/>
    </xf>
    <xf numFmtId="167" fontId="15" fillId="0" borderId="0" xfId="0" applyNumberFormat="1" applyFont="1" applyBorder="1" applyAlignment="1" applyProtection="1">
      <alignment horizontal="center"/>
      <protection hidden="1"/>
    </xf>
    <xf numFmtId="7" fontId="15" fillId="0" borderId="17" xfId="0" applyNumberFormat="1" applyFont="1" applyBorder="1" applyAlignment="1" applyProtection="1">
      <alignment horizontal="right"/>
      <protection hidden="1"/>
    </xf>
    <xf numFmtId="7" fontId="15" fillId="0" borderId="0" xfId="0" applyNumberFormat="1" applyFont="1" applyBorder="1" applyAlignment="1" applyProtection="1">
      <alignment horizontal="right"/>
      <protection hidden="1"/>
    </xf>
    <xf numFmtId="168" fontId="20" fillId="0" borderId="3" xfId="0" applyNumberFormat="1" applyFont="1" applyBorder="1" applyAlignment="1" applyProtection="1">
      <alignment horizontal="center"/>
      <protection locked="0"/>
    </xf>
    <xf numFmtId="164" fontId="20" fillId="5" borderId="3" xfId="0" applyNumberFormat="1" applyFont="1" applyFill="1" applyBorder="1" applyAlignment="1" applyProtection="1">
      <alignment horizontal="center"/>
      <protection hidden="1"/>
    </xf>
    <xf numFmtId="167" fontId="20" fillId="5" borderId="4" xfId="0" applyNumberFormat="1" applyFont="1" applyFill="1" applyBorder="1" applyAlignment="1" applyProtection="1">
      <alignment horizontal="center"/>
      <protection hidden="1"/>
    </xf>
    <xf numFmtId="2" fontId="20" fillId="4" borderId="3" xfId="0" applyNumberFormat="1" applyFont="1" applyFill="1" applyBorder="1" applyAlignment="1" applyProtection="1">
      <alignment horizontal="center"/>
      <protection locked="0"/>
    </xf>
    <xf numFmtId="7" fontId="22" fillId="9" borderId="3" xfId="0" applyNumberFormat="1" applyFont="1" applyFill="1" applyBorder="1" applyAlignment="1" applyProtection="1">
      <alignment horizontal="center"/>
      <protection hidden="1"/>
    </xf>
    <xf numFmtId="164" fontId="23" fillId="0" borderId="0" xfId="0" applyFont="1" applyProtection="1">
      <protection hidden="1"/>
    </xf>
    <xf numFmtId="164" fontId="20" fillId="0" borderId="0" xfId="0" applyNumberFormat="1" applyFont="1" applyBorder="1" applyAlignment="1" applyProtection="1">
      <alignment horizontal="center"/>
      <protection hidden="1"/>
    </xf>
    <xf numFmtId="167" fontId="20" fillId="0" borderId="0" xfId="0" applyNumberFormat="1" applyFont="1" applyBorder="1" applyAlignment="1" applyProtection="1">
      <alignment horizontal="center"/>
      <protection hidden="1"/>
    </xf>
    <xf numFmtId="167" fontId="20" fillId="4" borderId="0" xfId="0" applyNumberFormat="1" applyFont="1" applyFill="1" applyBorder="1" applyAlignment="1" applyProtection="1">
      <alignment horizontal="center"/>
      <protection hidden="1"/>
    </xf>
    <xf numFmtId="167" fontId="20" fillId="5" borderId="3" xfId="0" applyNumberFormat="1" applyFont="1" applyFill="1" applyBorder="1" applyAlignment="1" applyProtection="1">
      <alignment horizontal="center"/>
      <protection hidden="1"/>
    </xf>
    <xf numFmtId="7" fontId="20" fillId="0" borderId="0" xfId="0" applyNumberFormat="1" applyFont="1" applyProtection="1">
      <protection hidden="1"/>
    </xf>
    <xf numFmtId="164" fontId="20" fillId="0" borderId="0" xfId="0" applyNumberFormat="1" applyFont="1" applyFill="1" applyBorder="1" applyAlignment="1" applyProtection="1">
      <alignment horizontal="right"/>
      <protection hidden="1"/>
    </xf>
    <xf numFmtId="7" fontId="15" fillId="14" borderId="3" xfId="0" quotePrefix="1" applyNumberFormat="1" applyFont="1" applyFill="1" applyBorder="1" applyAlignment="1" applyProtection="1">
      <alignment horizontal="center"/>
      <protection hidden="1"/>
    </xf>
    <xf numFmtId="164" fontId="15" fillId="0" borderId="0" xfId="0" applyNumberFormat="1" applyFont="1" applyFill="1" applyBorder="1" applyProtection="1"/>
    <xf numFmtId="164" fontId="20" fillId="0" borderId="0" xfId="0" applyFont="1" applyFill="1" applyBorder="1" applyProtection="1"/>
    <xf numFmtId="49" fontId="15" fillId="0" borderId="0" xfId="0" applyNumberFormat="1" applyFont="1" applyFill="1" applyBorder="1" applyProtection="1"/>
    <xf numFmtId="167" fontId="20" fillId="7" borderId="27" xfId="0" applyNumberFormat="1" applyFont="1" applyFill="1" applyBorder="1" applyAlignment="1" applyProtection="1">
      <alignment horizontal="center"/>
      <protection hidden="1"/>
    </xf>
    <xf numFmtId="7" fontId="20" fillId="9" borderId="15" xfId="0" applyNumberFormat="1" applyFont="1" applyFill="1" applyBorder="1" applyAlignment="1" applyProtection="1">
      <alignment horizontal="center"/>
      <protection hidden="1"/>
    </xf>
    <xf numFmtId="7" fontId="20" fillId="2" borderId="20" xfId="0" applyNumberFormat="1" applyFont="1" applyFill="1" applyBorder="1" applyAlignment="1" applyProtection="1">
      <alignment horizontal="center"/>
      <protection hidden="1"/>
    </xf>
    <xf numFmtId="164" fontId="20" fillId="0" borderId="13" xfId="0" applyFont="1" applyBorder="1" applyProtection="1">
      <protection hidden="1"/>
    </xf>
    <xf numFmtId="164" fontId="20" fillId="0" borderId="14" xfId="0" applyFont="1" applyBorder="1" applyAlignment="1" applyProtection="1">
      <protection hidden="1"/>
    </xf>
    <xf numFmtId="164" fontId="15" fillId="0" borderId="32" xfId="0" applyNumberFormat="1" applyFont="1" applyBorder="1" applyAlignment="1" applyProtection="1">
      <alignment horizontal="right"/>
      <protection hidden="1"/>
    </xf>
    <xf numFmtId="164" fontId="20" fillId="0" borderId="11" xfId="0" applyFont="1" applyBorder="1" applyProtection="1">
      <protection hidden="1"/>
    </xf>
    <xf numFmtId="164" fontId="20" fillId="0" borderId="5" xfId="0" applyNumberFormat="1" applyFont="1" applyBorder="1" applyProtection="1">
      <protection hidden="1"/>
    </xf>
    <xf numFmtId="164" fontId="15" fillId="0" borderId="3" xfId="0" applyFont="1" applyBorder="1" applyAlignment="1" applyProtection="1">
      <alignment horizontal="center" wrapText="1"/>
      <protection hidden="1"/>
    </xf>
    <xf numFmtId="164" fontId="15" fillId="0" borderId="0" xfId="0" applyFont="1" applyAlignment="1" applyProtection="1">
      <alignment horizontal="center" wrapText="1"/>
      <protection hidden="1"/>
    </xf>
    <xf numFmtId="168" fontId="20" fillId="10" borderId="3" xfId="0" applyNumberFormat="1" applyFont="1" applyFill="1" applyBorder="1" applyAlignment="1" applyProtection="1">
      <alignment horizontal="center"/>
      <protection hidden="1"/>
    </xf>
    <xf numFmtId="170" fontId="15" fillId="0" borderId="0" xfId="0" applyNumberFormat="1" applyFont="1" applyBorder="1" applyAlignment="1">
      <alignment horizontal="center"/>
    </xf>
    <xf numFmtId="3" fontId="20" fillId="0" borderId="0" xfId="0" applyNumberFormat="1" applyFont="1" applyAlignment="1" applyProtection="1">
      <alignment horizontal="center"/>
      <protection hidden="1"/>
    </xf>
    <xf numFmtId="3" fontId="28" fillId="0" borderId="14" xfId="0" applyNumberFormat="1" applyFont="1" applyBorder="1" applyAlignment="1" applyProtection="1">
      <alignment horizontal="center"/>
      <protection hidden="1"/>
    </xf>
    <xf numFmtId="168" fontId="28" fillId="0" borderId="9" xfId="0" applyNumberFormat="1" applyFont="1" applyBorder="1" applyAlignment="1" applyProtection="1">
      <alignment horizontal="center"/>
      <protection hidden="1"/>
    </xf>
    <xf numFmtId="168" fontId="20" fillId="0" borderId="0" xfId="0" applyNumberFormat="1" applyFont="1" applyAlignment="1" applyProtection="1">
      <alignment horizontal="center"/>
      <protection hidden="1"/>
    </xf>
    <xf numFmtId="164" fontId="20" fillId="0" borderId="0" xfId="0" applyFont="1" applyAlignment="1" applyProtection="1">
      <alignment horizontal="center"/>
      <protection hidden="1"/>
    </xf>
    <xf numFmtId="168" fontId="20" fillId="11" borderId="3" xfId="0" applyNumberFormat="1" applyFont="1" applyFill="1" applyBorder="1" applyAlignment="1" applyProtection="1">
      <alignment horizontal="center"/>
      <protection hidden="1"/>
    </xf>
    <xf numFmtId="172" fontId="15" fillId="0" borderId="0" xfId="0" applyNumberFormat="1" applyFont="1" applyProtection="1">
      <protection hidden="1"/>
    </xf>
    <xf numFmtId="172" fontId="20" fillId="0" borderId="0" xfId="0" applyNumberFormat="1" applyFont="1" applyProtection="1">
      <protection hidden="1"/>
    </xf>
    <xf numFmtId="168" fontId="20" fillId="6" borderId="3" xfId="0" applyNumberFormat="1" applyFont="1" applyFill="1" applyBorder="1" applyAlignment="1" applyProtection="1">
      <alignment horizontal="center"/>
      <protection hidden="1"/>
    </xf>
    <xf numFmtId="164" fontId="15" fillId="11" borderId="3" xfId="0" applyFont="1" applyFill="1" applyBorder="1" applyProtection="1">
      <protection hidden="1"/>
    </xf>
    <xf numFmtId="168" fontId="20" fillId="11" borderId="3" xfId="0" applyNumberFormat="1" applyFont="1" applyFill="1" applyBorder="1" applyProtection="1">
      <protection hidden="1"/>
    </xf>
    <xf numFmtId="168" fontId="20" fillId="13" borderId="3" xfId="0" applyNumberFormat="1" applyFont="1" applyFill="1" applyBorder="1" applyAlignment="1" applyProtection="1">
      <alignment horizontal="center"/>
      <protection hidden="1"/>
    </xf>
    <xf numFmtId="164" fontId="15" fillId="0" borderId="0" xfId="0" applyFont="1" applyFill="1" applyAlignment="1" applyProtection="1">
      <alignment horizontal="center"/>
      <protection hidden="1"/>
    </xf>
    <xf numFmtId="164" fontId="20" fillId="0" borderId="0" xfId="0" applyFont="1" applyFill="1" applyAlignment="1" applyProtection="1">
      <alignment horizontal="centerContinuous"/>
      <protection hidden="1"/>
    </xf>
    <xf numFmtId="164" fontId="15" fillId="0" borderId="0" xfId="0" applyFont="1" applyBorder="1" applyAlignment="1" applyProtection="1">
      <alignment horizontal="center" vertical="center"/>
      <protection hidden="1"/>
    </xf>
    <xf numFmtId="164" fontId="32" fillId="20" borderId="0" xfId="0" applyFont="1" applyFill="1" applyAlignment="1" applyProtection="1">
      <alignment horizontal="center"/>
      <protection hidden="1"/>
    </xf>
    <xf numFmtId="167" fontId="20" fillId="21" borderId="3" xfId="0" applyNumberFormat="1" applyFont="1" applyFill="1" applyBorder="1" applyAlignment="1" applyProtection="1">
      <alignment horizontal="center"/>
      <protection hidden="1"/>
    </xf>
    <xf numFmtId="7" fontId="20" fillId="21" borderId="3" xfId="0" applyNumberFormat="1" applyFont="1" applyFill="1" applyBorder="1" applyAlignment="1" applyProtection="1">
      <alignment horizontal="center"/>
      <protection hidden="1"/>
    </xf>
    <xf numFmtId="165" fontId="15" fillId="21" borderId="3" xfId="0" applyNumberFormat="1" applyFont="1" applyFill="1" applyBorder="1" applyAlignment="1" applyProtection="1">
      <alignment horizontal="center"/>
    </xf>
    <xf numFmtId="1" fontId="15" fillId="21" borderId="3" xfId="0" applyNumberFormat="1" applyFont="1" applyFill="1" applyBorder="1" applyAlignment="1" applyProtection="1">
      <alignment horizontal="center"/>
      <protection hidden="1"/>
    </xf>
    <xf numFmtId="173" fontId="20" fillId="21" borderId="3" xfId="0" applyNumberFormat="1" applyFont="1" applyFill="1" applyBorder="1" applyAlignment="1" applyProtection="1">
      <alignment horizontal="center"/>
      <protection hidden="1"/>
    </xf>
    <xf numFmtId="7" fontId="15" fillId="21" borderId="3" xfId="0" applyNumberFormat="1" applyFont="1" applyFill="1" applyBorder="1" applyAlignment="1" applyProtection="1">
      <alignment horizontal="center"/>
      <protection hidden="1"/>
    </xf>
    <xf numFmtId="168" fontId="20" fillId="21" borderId="3" xfId="0" applyNumberFormat="1" applyFont="1" applyFill="1" applyBorder="1" applyAlignment="1" applyProtection="1">
      <alignment horizontal="center"/>
      <protection hidden="1"/>
    </xf>
    <xf numFmtId="165" fontId="20" fillId="21" borderId="3" xfId="0" applyNumberFormat="1" applyFont="1" applyFill="1" applyBorder="1" applyAlignment="1" applyProtection="1">
      <alignment horizontal="center"/>
      <protection hidden="1"/>
    </xf>
    <xf numFmtId="168" fontId="20" fillId="21" borderId="3" xfId="2" applyNumberFormat="1" applyFont="1" applyFill="1" applyBorder="1" applyAlignment="1" applyProtection="1">
      <alignment horizontal="center"/>
      <protection hidden="1"/>
    </xf>
    <xf numFmtId="7" fontId="20" fillId="21" borderId="9" xfId="0" applyNumberFormat="1" applyFont="1" applyFill="1" applyBorder="1" applyAlignment="1" applyProtection="1">
      <alignment horizontal="center"/>
      <protection hidden="1"/>
    </xf>
    <xf numFmtId="7" fontId="20" fillId="21" borderId="15" xfId="0" applyNumberFormat="1" applyFont="1" applyFill="1" applyBorder="1" applyAlignment="1" applyProtection="1">
      <alignment horizontal="center"/>
      <protection hidden="1"/>
    </xf>
    <xf numFmtId="2" fontId="15" fillId="21" borderId="3" xfId="0" applyNumberFormat="1" applyFont="1" applyFill="1" applyBorder="1" applyAlignment="1" applyProtection="1">
      <alignment horizontal="center"/>
      <protection hidden="1"/>
    </xf>
    <xf numFmtId="7" fontId="15" fillId="21" borderId="4" xfId="0" applyNumberFormat="1" applyFont="1" applyFill="1" applyBorder="1" applyAlignment="1" applyProtection="1">
      <alignment horizontal="center"/>
      <protection hidden="1"/>
    </xf>
    <xf numFmtId="168" fontId="15" fillId="21" borderId="3" xfId="0" applyNumberFormat="1" applyFont="1" applyFill="1" applyBorder="1" applyAlignment="1" applyProtection="1">
      <alignment horizontal="center"/>
      <protection hidden="1"/>
    </xf>
    <xf numFmtId="7" fontId="15" fillId="21" borderId="3" xfId="0" quotePrefix="1" applyNumberFormat="1" applyFont="1" applyFill="1" applyBorder="1" applyAlignment="1" applyProtection="1">
      <alignment horizontal="center"/>
      <protection hidden="1"/>
    </xf>
    <xf numFmtId="164" fontId="15" fillId="21" borderId="4" xfId="0" applyFont="1" applyFill="1" applyBorder="1" applyProtection="1">
      <protection hidden="1"/>
    </xf>
    <xf numFmtId="7" fontId="20" fillId="22" borderId="3" xfId="0" applyNumberFormat="1" applyFont="1" applyFill="1" applyBorder="1" applyAlignment="1" applyProtection="1">
      <alignment horizontal="center"/>
      <protection hidden="1"/>
    </xf>
    <xf numFmtId="7" fontId="20" fillId="22" borderId="4" xfId="0" applyNumberFormat="1" applyFont="1" applyFill="1" applyBorder="1" applyAlignment="1" applyProtection="1">
      <alignment horizontal="center"/>
      <protection hidden="1"/>
    </xf>
    <xf numFmtId="168" fontId="20" fillId="22" borderId="3" xfId="0" applyNumberFormat="1" applyFont="1" applyFill="1" applyBorder="1" applyAlignment="1" applyProtection="1">
      <alignment horizontal="center"/>
      <protection hidden="1"/>
    </xf>
    <xf numFmtId="171" fontId="20" fillId="22" borderId="3" xfId="0" applyNumberFormat="1" applyFont="1" applyFill="1" applyBorder="1" applyAlignment="1" applyProtection="1">
      <alignment horizontal="center"/>
      <protection hidden="1"/>
    </xf>
    <xf numFmtId="164" fontId="20" fillId="22" borderId="0" xfId="0" applyFont="1" applyFill="1" applyAlignment="1" applyProtection="1">
      <alignment horizontal="center"/>
      <protection hidden="1"/>
    </xf>
    <xf numFmtId="164" fontId="20" fillId="0" borderId="4" xfId="0" applyNumberFormat="1" applyFont="1" applyFill="1" applyBorder="1" applyAlignment="1" applyProtection="1">
      <alignment horizontal="left"/>
      <protection hidden="1"/>
    </xf>
    <xf numFmtId="164" fontId="20" fillId="0" borderId="2" xfId="0" applyNumberFormat="1" applyFont="1" applyFill="1" applyBorder="1" applyAlignment="1" applyProtection="1">
      <alignment horizontal="left"/>
      <protection hidden="1"/>
    </xf>
    <xf numFmtId="164" fontId="20" fillId="0" borderId="9" xfId="0" applyFont="1" applyFill="1" applyBorder="1" applyProtection="1">
      <protection hidden="1"/>
    </xf>
    <xf numFmtId="164" fontId="20" fillId="22" borderId="19" xfId="0" applyNumberFormat="1" applyFont="1" applyFill="1" applyBorder="1" applyAlignment="1" applyProtection="1">
      <alignment horizontal="center"/>
      <protection hidden="1"/>
    </xf>
    <xf numFmtId="164" fontId="20" fillId="22" borderId="21" xfId="0" applyNumberFormat="1" applyFont="1" applyFill="1" applyBorder="1" applyAlignment="1" applyProtection="1">
      <alignment horizontal="center"/>
      <protection hidden="1"/>
    </xf>
    <xf numFmtId="167" fontId="20" fillId="22" borderId="12" xfId="0" applyNumberFormat="1" applyFont="1" applyFill="1" applyBorder="1" applyAlignment="1" applyProtection="1">
      <alignment horizontal="center"/>
      <protection hidden="1"/>
    </xf>
    <xf numFmtId="7" fontId="15" fillId="19" borderId="26" xfId="0" applyNumberFormat="1" applyFont="1" applyFill="1" applyBorder="1" applyAlignment="1" applyProtection="1">
      <alignment horizontal="center"/>
      <protection hidden="1"/>
    </xf>
    <xf numFmtId="164" fontId="15" fillId="19" borderId="26" xfId="0" applyFont="1" applyFill="1" applyBorder="1" applyAlignment="1" applyProtection="1">
      <alignment horizontal="center"/>
      <protection hidden="1"/>
    </xf>
    <xf numFmtId="164" fontId="15" fillId="19" borderId="4" xfId="0" applyNumberFormat="1" applyFont="1" applyFill="1" applyBorder="1" applyProtection="1">
      <protection hidden="1"/>
    </xf>
    <xf numFmtId="164" fontId="20" fillId="19" borderId="2" xfId="0" applyNumberFormat="1" applyFont="1" applyFill="1" applyBorder="1" applyProtection="1">
      <protection hidden="1"/>
    </xf>
    <xf numFmtId="164" fontId="20" fillId="19" borderId="9" xfId="0" quotePrefix="1" applyNumberFormat="1" applyFont="1" applyFill="1" applyBorder="1" applyAlignment="1" applyProtection="1">
      <alignment horizontal="center"/>
      <protection hidden="1"/>
    </xf>
    <xf numFmtId="173" fontId="20" fillId="22" borderId="3" xfId="0" applyNumberFormat="1" applyFont="1" applyFill="1" applyBorder="1" applyAlignment="1" applyProtection="1">
      <alignment horizontal="center"/>
      <protection hidden="1"/>
    </xf>
    <xf numFmtId="164" fontId="35" fillId="0" borderId="0" xfId="0" applyNumberFormat="1" applyFont="1" applyBorder="1" applyAlignment="1" applyProtection="1">
      <alignment horizontal="right"/>
      <protection hidden="1"/>
    </xf>
    <xf numFmtId="164" fontId="35" fillId="0" borderId="0" xfId="0" applyNumberFormat="1" applyFont="1" applyFill="1" applyBorder="1" applyAlignment="1" applyProtection="1">
      <alignment horizontal="right"/>
      <protection hidden="1"/>
    </xf>
    <xf numFmtId="168" fontId="15" fillId="21" borderId="3" xfId="2" applyNumberFormat="1" applyFont="1" applyFill="1" applyBorder="1" applyAlignment="1" applyProtection="1">
      <alignment horizontal="center"/>
      <protection hidden="1"/>
    </xf>
    <xf numFmtId="1" fontId="15" fillId="23" borderId="3" xfId="0" applyNumberFormat="1" applyFont="1" applyFill="1" applyBorder="1" applyAlignment="1" applyProtection="1">
      <alignment horizontal="center"/>
      <protection locked="0"/>
    </xf>
    <xf numFmtId="164" fontId="20" fillId="23" borderId="12" xfId="0" applyNumberFormat="1" applyFont="1" applyFill="1" applyBorder="1" applyAlignment="1" applyProtection="1">
      <alignment horizontal="center"/>
      <protection locked="0"/>
    </xf>
    <xf numFmtId="164" fontId="20" fillId="23" borderId="21" xfId="0" applyNumberFormat="1" applyFont="1" applyFill="1" applyBorder="1" applyAlignment="1" applyProtection="1">
      <alignment horizontal="center"/>
      <protection locked="0"/>
    </xf>
    <xf numFmtId="167" fontId="20" fillId="23" borderId="12" xfId="0" applyNumberFormat="1" applyFont="1" applyFill="1" applyBorder="1" applyAlignment="1" applyProtection="1">
      <alignment horizontal="center"/>
      <protection locked="0"/>
    </xf>
    <xf numFmtId="164" fontId="20" fillId="23" borderId="26" xfId="0" applyNumberFormat="1" applyFont="1" applyFill="1" applyBorder="1" applyAlignment="1" applyProtection="1">
      <alignment horizontal="center"/>
      <protection locked="0"/>
    </xf>
    <xf numFmtId="167" fontId="20" fillId="23" borderId="13" xfId="0" applyNumberFormat="1" applyFont="1" applyFill="1" applyBorder="1" applyAlignment="1" applyProtection="1">
      <alignment horizontal="center"/>
      <protection locked="0"/>
    </xf>
    <xf numFmtId="164" fontId="20" fillId="23" borderId="3" xfId="0" applyNumberFormat="1" applyFont="1" applyFill="1" applyBorder="1" applyAlignment="1" applyProtection="1">
      <alignment horizontal="center"/>
      <protection locked="0"/>
    </xf>
    <xf numFmtId="167" fontId="20" fillId="23" borderId="4" xfId="0" applyNumberFormat="1" applyFont="1" applyFill="1" applyBorder="1" applyAlignment="1" applyProtection="1">
      <alignment horizontal="center"/>
      <protection locked="0"/>
    </xf>
    <xf numFmtId="164" fontId="20" fillId="23" borderId="24" xfId="0" applyNumberFormat="1" applyFont="1" applyFill="1" applyBorder="1" applyAlignment="1" applyProtection="1">
      <alignment horizontal="center"/>
      <protection locked="0"/>
    </xf>
    <xf numFmtId="164" fontId="20" fillId="23" borderId="31" xfId="0" applyNumberFormat="1" applyFont="1" applyFill="1" applyBorder="1" applyAlignment="1" applyProtection="1">
      <alignment horizontal="center"/>
      <protection locked="0"/>
    </xf>
    <xf numFmtId="164" fontId="15" fillId="23" borderId="3" xfId="0" applyNumberFormat="1" applyFont="1" applyFill="1" applyBorder="1" applyAlignment="1" applyProtection="1">
      <alignment horizontal="center"/>
      <protection locked="0"/>
    </xf>
    <xf numFmtId="164" fontId="20" fillId="23" borderId="4" xfId="0" applyNumberFormat="1" applyFont="1" applyFill="1" applyBorder="1" applyAlignment="1" applyProtection="1">
      <alignment horizontal="center"/>
      <protection locked="0"/>
    </xf>
    <xf numFmtId="167" fontId="20" fillId="23" borderId="3" xfId="0" applyNumberFormat="1" applyFont="1" applyFill="1" applyBorder="1" applyAlignment="1" applyProtection="1">
      <alignment horizontal="center"/>
      <protection locked="0"/>
    </xf>
    <xf numFmtId="164" fontId="20" fillId="23" borderId="19" xfId="0" applyNumberFormat="1" applyFont="1" applyFill="1" applyBorder="1" applyAlignment="1" applyProtection="1">
      <alignment horizontal="center"/>
      <protection locked="0"/>
    </xf>
    <xf numFmtId="164" fontId="20" fillId="23" borderId="29" xfId="0" applyNumberFormat="1" applyFont="1" applyFill="1" applyBorder="1" applyAlignment="1" applyProtection="1">
      <alignment horizontal="center"/>
      <protection locked="0"/>
    </xf>
    <xf numFmtId="173" fontId="15" fillId="21" borderId="4" xfId="0" applyNumberFormat="1" applyFont="1" applyFill="1" applyBorder="1" applyAlignment="1" applyProtection="1">
      <alignment horizontal="center"/>
      <protection hidden="1"/>
    </xf>
    <xf numFmtId="173" fontId="20" fillId="21" borderId="4" xfId="0" applyNumberFormat="1" applyFont="1" applyFill="1" applyBorder="1" applyAlignment="1" applyProtection="1">
      <alignment horizontal="center"/>
      <protection hidden="1"/>
    </xf>
    <xf numFmtId="168" fontId="15" fillId="21" borderId="5" xfId="0" applyNumberFormat="1" applyFont="1" applyFill="1" applyBorder="1" applyAlignment="1" applyProtection="1">
      <alignment horizontal="center"/>
      <protection hidden="1"/>
    </xf>
    <xf numFmtId="7" fontId="35" fillId="21" borderId="3" xfId="0" applyNumberFormat="1" applyFont="1" applyFill="1" applyBorder="1" applyAlignment="1" applyProtection="1">
      <alignment horizontal="center"/>
      <protection hidden="1"/>
    </xf>
    <xf numFmtId="168" fontId="20" fillId="23" borderId="3" xfId="0" applyNumberFormat="1" applyFont="1" applyFill="1" applyBorder="1" applyAlignment="1" applyProtection="1">
      <alignment horizontal="center"/>
      <protection locked="0"/>
    </xf>
    <xf numFmtId="164" fontId="36" fillId="0" borderId="12" xfId="0" applyFont="1" applyBorder="1" applyProtection="1">
      <protection hidden="1"/>
    </xf>
    <xf numFmtId="164" fontId="36" fillId="0" borderId="6" xfId="0" applyFont="1" applyBorder="1" applyAlignment="1" applyProtection="1">
      <protection hidden="1"/>
    </xf>
    <xf numFmtId="164" fontId="35" fillId="0" borderId="33" xfId="0" applyNumberFormat="1" applyFont="1" applyFill="1" applyBorder="1" applyAlignment="1" applyProtection="1">
      <alignment horizontal="right"/>
      <protection hidden="1"/>
    </xf>
    <xf numFmtId="168" fontId="35" fillId="21" borderId="3" xfId="0" applyNumberFormat="1" applyFont="1" applyFill="1" applyBorder="1" applyAlignment="1" applyProtection="1">
      <alignment horizontal="center"/>
      <protection hidden="1"/>
    </xf>
    <xf numFmtId="10" fontId="20" fillId="22" borderId="3" xfId="0" applyNumberFormat="1" applyFont="1" applyFill="1" applyBorder="1" applyAlignment="1" applyProtection="1">
      <alignment horizontal="center"/>
      <protection hidden="1"/>
    </xf>
    <xf numFmtId="3" fontId="20" fillId="22" borderId="3" xfId="0" applyNumberFormat="1" applyFont="1" applyFill="1" applyBorder="1" applyAlignment="1" applyProtection="1">
      <alignment horizontal="center"/>
      <protection hidden="1"/>
    </xf>
    <xf numFmtId="3" fontId="20" fillId="23" borderId="8" xfId="0" applyNumberFormat="1" applyFont="1" applyFill="1" applyBorder="1" applyProtection="1">
      <protection locked="0"/>
    </xf>
    <xf numFmtId="7" fontId="15" fillId="21" borderId="16" xfId="0" applyNumberFormat="1" applyFont="1" applyFill="1" applyBorder="1" applyAlignment="1" applyProtection="1">
      <alignment horizontal="center"/>
      <protection hidden="1"/>
    </xf>
    <xf numFmtId="164" fontId="16" fillId="20" borderId="0" xfId="0" applyFont="1" applyFill="1" applyProtection="1">
      <protection hidden="1"/>
    </xf>
    <xf numFmtId="164" fontId="15" fillId="0" borderId="6" xfId="0" applyNumberFormat="1" applyFont="1" applyBorder="1" applyProtection="1">
      <protection hidden="1"/>
    </xf>
    <xf numFmtId="164" fontId="23" fillId="0" borderId="6" xfId="0" applyNumberFormat="1" applyFont="1" applyBorder="1" applyAlignment="1" applyProtection="1">
      <alignment horizontal="left"/>
      <protection hidden="1"/>
    </xf>
    <xf numFmtId="164" fontId="24" fillId="0" borderId="0" xfId="0" applyFont="1" applyAlignment="1" applyProtection="1">
      <alignment horizontal="center" vertical="top"/>
      <protection hidden="1"/>
    </xf>
    <xf numFmtId="164" fontId="24" fillId="0" borderId="0" xfId="0" applyNumberFormat="1" applyFont="1" applyBorder="1" applyAlignment="1" applyProtection="1">
      <alignment horizontal="center" vertical="top"/>
      <protection hidden="1"/>
    </xf>
    <xf numFmtId="164" fontId="17" fillId="0" borderId="0" xfId="0" applyFont="1" applyAlignment="1" applyProtection="1">
      <alignment horizontal="center" vertical="top"/>
      <protection hidden="1"/>
    </xf>
    <xf numFmtId="164" fontId="24" fillId="0" borderId="0" xfId="0" applyFont="1" applyFill="1" applyBorder="1" applyAlignment="1" applyProtection="1">
      <alignment horizontal="center" vertical="top"/>
      <protection hidden="1"/>
    </xf>
    <xf numFmtId="164" fontId="24" fillId="0" borderId="0" xfId="0" applyFont="1" applyFill="1" applyBorder="1" applyAlignment="1" applyProtection="1">
      <alignment vertical="top"/>
      <protection hidden="1"/>
    </xf>
    <xf numFmtId="164" fontId="17" fillId="0" borderId="0" xfId="0" applyFont="1" applyFill="1" applyBorder="1" applyAlignment="1" applyProtection="1">
      <alignment vertical="top"/>
      <protection hidden="1"/>
    </xf>
    <xf numFmtId="164" fontId="17" fillId="0" borderId="0" xfId="0" applyNumberFormat="1" applyFont="1" applyAlignment="1" applyProtection="1">
      <alignment horizontal="center" vertical="top"/>
      <protection hidden="1"/>
    </xf>
    <xf numFmtId="164" fontId="24" fillId="0" borderId="0" xfId="0" applyFont="1" applyFill="1" applyBorder="1" applyAlignment="1" applyProtection="1">
      <alignment horizontal="center" vertical="top"/>
    </xf>
    <xf numFmtId="3" fontId="17" fillId="0" borderId="0" xfId="0" applyNumberFormat="1" applyFont="1" applyAlignment="1" applyProtection="1">
      <alignment horizontal="center" vertical="top"/>
      <protection hidden="1"/>
    </xf>
    <xf numFmtId="14" fontId="24" fillId="0" borderId="0" xfId="0" applyNumberFormat="1" applyFont="1" applyBorder="1" applyAlignment="1" applyProtection="1">
      <alignment horizontal="center" vertical="top"/>
    </xf>
    <xf numFmtId="164" fontId="17" fillId="0" borderId="0" xfId="0" applyNumberFormat="1" applyFont="1" applyAlignment="1" applyProtection="1">
      <alignment vertical="top"/>
      <protection hidden="1"/>
    </xf>
    <xf numFmtId="164" fontId="25" fillId="0" borderId="0" xfId="0" applyNumberFormat="1" applyFont="1" applyAlignment="1" applyProtection="1">
      <alignment horizontal="center" vertical="top"/>
      <protection hidden="1"/>
    </xf>
    <xf numFmtId="4" fontId="24" fillId="0" borderId="0" xfId="0" applyNumberFormat="1" applyFont="1" applyBorder="1" applyAlignment="1" applyProtection="1">
      <alignment horizontal="center" vertical="top"/>
    </xf>
    <xf numFmtId="164" fontId="24" fillId="0" borderId="0" xfId="0" applyNumberFormat="1" applyFont="1" applyFill="1" applyBorder="1" applyAlignment="1" applyProtection="1">
      <alignment horizontal="center" vertical="top"/>
      <protection hidden="1"/>
    </xf>
    <xf numFmtId="49" fontId="24" fillId="0" borderId="0" xfId="0" applyNumberFormat="1" applyFont="1" applyFill="1" applyBorder="1" applyAlignment="1" applyProtection="1">
      <alignment horizontal="center" vertical="top"/>
    </xf>
    <xf numFmtId="164" fontId="17" fillId="0" borderId="0" xfId="0" applyFont="1" applyAlignment="1">
      <alignment horizontal="center" vertical="top"/>
    </xf>
    <xf numFmtId="164" fontId="17" fillId="0" borderId="0" xfId="0" applyFont="1" applyAlignment="1" applyProtection="1">
      <alignment horizontal="center" vertical="top"/>
    </xf>
    <xf numFmtId="164" fontId="17" fillId="0" borderId="0" xfId="0" applyFont="1" applyAlignment="1" applyProtection="1">
      <alignment vertical="top"/>
    </xf>
    <xf numFmtId="164" fontId="17" fillId="0" borderId="0" xfId="0" applyFont="1" applyAlignment="1">
      <alignment vertical="top"/>
    </xf>
    <xf numFmtId="164" fontId="17" fillId="0" borderId="0" xfId="0" applyFont="1" applyFill="1" applyAlignment="1">
      <alignment vertical="top"/>
    </xf>
    <xf numFmtId="168" fontId="17" fillId="0" borderId="0" xfId="0" applyNumberFormat="1" applyFont="1" applyFill="1" applyBorder="1" applyAlignment="1" applyProtection="1">
      <alignment vertical="top"/>
      <protection hidden="1"/>
    </xf>
    <xf numFmtId="7" fontId="15" fillId="16" borderId="0" xfId="0" applyNumberFormat="1" applyFont="1" applyFill="1" applyBorder="1" applyAlignment="1" applyProtection="1">
      <alignment horizontal="right"/>
      <protection hidden="1"/>
    </xf>
    <xf numFmtId="164" fontId="15" fillId="21" borderId="3" xfId="0" applyNumberFormat="1" applyFont="1" applyFill="1" applyBorder="1" applyAlignment="1" applyProtection="1">
      <alignment horizontal="center"/>
      <protection hidden="1"/>
    </xf>
    <xf numFmtId="173" fontId="15" fillId="21" borderId="3" xfId="0" applyNumberFormat="1" applyFont="1" applyFill="1" applyBorder="1" applyAlignment="1" applyProtection="1">
      <alignment horizontal="center"/>
      <protection hidden="1"/>
    </xf>
    <xf numFmtId="7" fontId="15" fillId="17" borderId="20" xfId="0" applyNumberFormat="1" applyFont="1" applyFill="1" applyBorder="1" applyAlignment="1" applyProtection="1">
      <alignment horizontal="center"/>
      <protection hidden="1"/>
    </xf>
    <xf numFmtId="164" fontId="15" fillId="22" borderId="4" xfId="0" applyFont="1" applyFill="1" applyBorder="1" applyAlignment="1" applyProtection="1">
      <alignment horizontal="left"/>
      <protection hidden="1"/>
    </xf>
    <xf numFmtId="164" fontId="15" fillId="22" borderId="0" xfId="0" applyFont="1" applyFill="1" applyAlignment="1" applyProtection="1">
      <alignment horizontal="right"/>
      <protection hidden="1"/>
    </xf>
    <xf numFmtId="164" fontId="31" fillId="20" borderId="0" xfId="0" applyFont="1" applyFill="1" applyAlignment="1" applyProtection="1">
      <alignment horizontal="centerContinuous"/>
      <protection hidden="1"/>
    </xf>
    <xf numFmtId="164" fontId="37" fillId="20" borderId="0" xfId="0" applyFont="1" applyFill="1" applyAlignment="1" applyProtection="1">
      <alignment horizontal="centerContinuous"/>
      <protection hidden="1"/>
    </xf>
    <xf numFmtId="164" fontId="32" fillId="20" borderId="0" xfId="0" applyFont="1" applyFill="1" applyAlignment="1" applyProtection="1">
      <alignment horizontal="centerContinuous"/>
      <protection hidden="1"/>
    </xf>
    <xf numFmtId="164" fontId="15" fillId="0" borderId="0" xfId="0" applyNumberFormat="1" applyFont="1" applyAlignment="1" applyProtection="1">
      <protection hidden="1"/>
    </xf>
    <xf numFmtId="2" fontId="15" fillId="21" borderId="21" xfId="0" applyNumberFormat="1" applyFont="1" applyFill="1" applyBorder="1" applyAlignment="1" applyProtection="1">
      <alignment horizontal="center"/>
      <protection hidden="1"/>
    </xf>
    <xf numFmtId="164" fontId="15" fillId="22" borderId="9" xfId="0" applyFont="1" applyFill="1" applyBorder="1" applyAlignment="1" applyProtection="1">
      <alignment horizontal="right"/>
      <protection hidden="1"/>
    </xf>
    <xf numFmtId="168" fontId="20" fillId="21" borderId="9" xfId="0" applyNumberFormat="1" applyFont="1" applyFill="1" applyBorder="1" applyAlignment="1" applyProtection="1">
      <alignment horizontal="center"/>
      <protection hidden="1"/>
    </xf>
    <xf numFmtId="7" fontId="15" fillId="21" borderId="20" xfId="0" applyNumberFormat="1" applyFont="1" applyFill="1" applyBorder="1" applyAlignment="1" applyProtection="1">
      <alignment horizontal="center"/>
      <protection hidden="1"/>
    </xf>
    <xf numFmtId="164" fontId="13" fillId="0" borderId="0" xfId="0" quotePrefix="1" applyNumberFormat="1" applyFont="1" applyAlignment="1" applyProtection="1">
      <alignment horizontal="right"/>
      <protection hidden="1"/>
    </xf>
    <xf numFmtId="2" fontId="13" fillId="0" borderId="0" xfId="0" quotePrefix="1" applyNumberFormat="1" applyFont="1" applyAlignment="1" applyProtection="1">
      <alignment horizontal="left"/>
      <protection hidden="1"/>
    </xf>
    <xf numFmtId="164" fontId="38" fillId="0" borderId="0" xfId="0" applyFont="1" applyAlignment="1" applyProtection="1">
      <alignment horizontal="left"/>
      <protection hidden="1"/>
    </xf>
    <xf numFmtId="2" fontId="20" fillId="0" borderId="0" xfId="0" applyNumberFormat="1" applyFont="1" applyProtection="1">
      <protection hidden="1"/>
    </xf>
    <xf numFmtId="164" fontId="20" fillId="0" borderId="3" xfId="0" applyNumberFormat="1" applyFont="1" applyFill="1" applyBorder="1" applyAlignment="1" applyProtection="1">
      <alignment horizontal="center"/>
    </xf>
    <xf numFmtId="164" fontId="20" fillId="0" borderId="0" xfId="0" applyNumberFormat="1" applyFont="1" applyFill="1" applyBorder="1" applyAlignment="1" applyProtection="1">
      <alignment horizontal="center"/>
      <protection hidden="1"/>
    </xf>
    <xf numFmtId="173" fontId="15" fillId="0" borderId="0" xfId="0" applyNumberFormat="1" applyFont="1" applyFill="1" applyBorder="1" applyAlignment="1" applyProtection="1">
      <alignment horizontal="center"/>
      <protection hidden="1"/>
    </xf>
    <xf numFmtId="164" fontId="34" fillId="0" borderId="0" xfId="0" applyFont="1" applyBorder="1" applyProtection="1">
      <protection hidden="1"/>
    </xf>
    <xf numFmtId="164" fontId="32" fillId="0" borderId="0" xfId="0" applyNumberFormat="1" applyFont="1" applyBorder="1" applyAlignment="1" applyProtection="1">
      <alignment horizontal="right"/>
      <protection hidden="1"/>
    </xf>
    <xf numFmtId="167" fontId="20" fillId="21" borderId="26" xfId="0" applyNumberFormat="1" applyFont="1" applyFill="1" applyBorder="1" applyAlignment="1" applyProtection="1">
      <alignment horizontal="center"/>
      <protection hidden="1"/>
    </xf>
    <xf numFmtId="7" fontId="20" fillId="21" borderId="26" xfId="0" applyNumberFormat="1" applyFont="1" applyFill="1" applyBorder="1" applyAlignment="1" applyProtection="1">
      <alignment horizontal="center"/>
      <protection hidden="1"/>
    </xf>
    <xf numFmtId="37" fontId="15" fillId="21" borderId="3" xfId="0" applyNumberFormat="1" applyFont="1" applyFill="1" applyBorder="1" applyAlignment="1" applyProtection="1">
      <alignment horizontal="center"/>
      <protection hidden="1"/>
    </xf>
    <xf numFmtId="3" fontId="15" fillId="21" borderId="3" xfId="0" applyNumberFormat="1" applyFont="1" applyFill="1" applyBorder="1" applyAlignment="1" applyProtection="1">
      <alignment horizontal="center"/>
      <protection hidden="1"/>
    </xf>
    <xf numFmtId="7" fontId="32" fillId="0" borderId="0" xfId="0" applyNumberFormat="1" applyFont="1" applyFill="1" applyBorder="1" applyAlignment="1" applyProtection="1">
      <alignment horizontal="center"/>
      <protection hidden="1"/>
    </xf>
    <xf numFmtId="164" fontId="15" fillId="22" borderId="3" xfId="0" applyNumberFormat="1" applyFont="1" applyFill="1" applyBorder="1" applyAlignment="1" applyProtection="1">
      <alignment horizontal="center"/>
      <protection hidden="1"/>
    </xf>
    <xf numFmtId="7" fontId="32" fillId="19" borderId="0" xfId="0" applyNumberFormat="1" applyFont="1" applyFill="1" applyBorder="1" applyAlignment="1" applyProtection="1">
      <alignment horizontal="center"/>
      <protection hidden="1"/>
    </xf>
    <xf numFmtId="164" fontId="24" fillId="0" borderId="0" xfId="0" applyFont="1" applyAlignment="1">
      <alignment horizontal="left" vertical="top"/>
    </xf>
    <xf numFmtId="164" fontId="30" fillId="20" borderId="3" xfId="0" applyFont="1" applyFill="1" applyBorder="1" applyAlignment="1" applyProtection="1">
      <alignment horizontal="center" vertical="top"/>
      <protection hidden="1"/>
    </xf>
    <xf numFmtId="164" fontId="30" fillId="20" borderId="3" xfId="0" applyFont="1" applyFill="1" applyBorder="1" applyAlignment="1">
      <alignment horizontal="center" vertical="top"/>
    </xf>
    <xf numFmtId="7" fontId="24" fillId="21" borderId="3" xfId="0" applyNumberFormat="1" applyFont="1" applyFill="1" applyBorder="1" applyAlignment="1" applyProtection="1">
      <alignment horizontal="center" vertical="top"/>
      <protection hidden="1"/>
    </xf>
    <xf numFmtId="174" fontId="24" fillId="21" borderId="3" xfId="1" applyNumberFormat="1" applyFont="1" applyFill="1" applyBorder="1" applyAlignment="1" applyProtection="1">
      <alignment horizontal="center" vertical="top"/>
      <protection hidden="1"/>
    </xf>
    <xf numFmtId="0" fontId="24" fillId="21" borderId="3" xfId="0" applyNumberFormat="1" applyFont="1" applyFill="1" applyBorder="1" applyAlignment="1" applyProtection="1">
      <alignment horizontal="center" vertical="top"/>
      <protection hidden="1"/>
    </xf>
    <xf numFmtId="3" fontId="24" fillId="21" borderId="3" xfId="0" applyNumberFormat="1" applyFont="1" applyFill="1" applyBorder="1" applyAlignment="1" applyProtection="1">
      <alignment horizontal="center" vertical="top"/>
      <protection hidden="1"/>
    </xf>
    <xf numFmtId="164" fontId="24" fillId="21" borderId="3" xfId="0" applyFont="1" applyFill="1" applyBorder="1" applyAlignment="1" applyProtection="1">
      <alignment horizontal="center" vertical="top"/>
      <protection hidden="1"/>
    </xf>
    <xf numFmtId="164" fontId="17" fillId="0" borderId="34" xfId="0" applyFont="1" applyFill="1" applyBorder="1" applyAlignment="1" applyProtection="1">
      <alignment horizontal="left" vertical="top"/>
    </xf>
    <xf numFmtId="164" fontId="26" fillId="0" borderId="34" xfId="0" applyFont="1" applyFill="1" applyBorder="1" applyAlignment="1" applyProtection="1">
      <alignment horizontal="left" vertical="top"/>
      <protection hidden="1"/>
    </xf>
    <xf numFmtId="164" fontId="17" fillId="0" borderId="34" xfId="0" applyFont="1" applyFill="1" applyBorder="1" applyAlignment="1" applyProtection="1">
      <alignment horizontal="left" vertical="top"/>
      <protection hidden="1"/>
    </xf>
    <xf numFmtId="164" fontId="17" fillId="0" borderId="21" xfId="0" applyFont="1" applyFill="1" applyBorder="1" applyAlignment="1" applyProtection="1">
      <alignment horizontal="left" vertical="top"/>
      <protection hidden="1"/>
    </xf>
    <xf numFmtId="164" fontId="41" fillId="0" borderId="0" xfId="0" applyNumberFormat="1" applyFont="1" applyAlignment="1" applyProtection="1">
      <alignment horizontal="right" vertical="top"/>
      <protection hidden="1"/>
    </xf>
    <xf numFmtId="2" fontId="24" fillId="21" borderId="3" xfId="0" applyNumberFormat="1" applyFont="1" applyFill="1" applyBorder="1" applyAlignment="1">
      <alignment horizontal="center" vertical="top"/>
    </xf>
    <xf numFmtId="2" fontId="24" fillId="21" borderId="3" xfId="0" applyNumberFormat="1" applyFont="1" applyFill="1" applyBorder="1" applyAlignment="1" applyProtection="1">
      <alignment horizontal="center" vertical="top"/>
      <protection hidden="1"/>
    </xf>
    <xf numFmtId="164" fontId="35" fillId="0" borderId="0" xfId="0" applyFont="1" applyFill="1" applyAlignment="1">
      <alignment wrapText="1"/>
    </xf>
    <xf numFmtId="164" fontId="36" fillId="0" borderId="0" xfId="0" applyFont="1" applyFill="1" applyBorder="1" applyAlignment="1">
      <alignment horizontal="center"/>
    </xf>
    <xf numFmtId="167" fontId="36" fillId="0" borderId="0" xfId="0" applyNumberFormat="1" applyFont="1" applyFill="1" applyBorder="1" applyAlignment="1">
      <alignment horizontal="center"/>
    </xf>
    <xf numFmtId="164" fontId="20" fillId="0" borderId="0" xfId="0" applyFont="1"/>
    <xf numFmtId="164" fontId="20" fillId="0" borderId="0" xfId="0" applyFont="1" applyAlignment="1">
      <alignment horizontal="center"/>
    </xf>
    <xf numFmtId="164" fontId="20" fillId="0" borderId="0" xfId="0" applyFont="1" applyFill="1"/>
    <xf numFmtId="164" fontId="20" fillId="0" borderId="0" xfId="0" applyFont="1" applyFill="1" applyBorder="1" applyAlignment="1">
      <alignment horizontal="center"/>
    </xf>
    <xf numFmtId="164" fontId="20" fillId="18" borderId="0" xfId="0" applyFont="1" applyFill="1"/>
    <xf numFmtId="164" fontId="20" fillId="0" borderId="0" xfId="0" applyFont="1" applyFill="1" applyAlignment="1">
      <alignment horizontal="center"/>
    </xf>
    <xf numFmtId="164" fontId="20" fillId="0" borderId="0" xfId="0" applyFont="1" applyAlignment="1">
      <alignment horizontal="center" wrapText="1"/>
    </xf>
    <xf numFmtId="164" fontId="20" fillId="0" borderId="0" xfId="0" applyFont="1" applyAlignment="1">
      <alignment wrapText="1"/>
    </xf>
    <xf numFmtId="164" fontId="20" fillId="0" borderId="0" xfId="0" applyFont="1" applyAlignment="1">
      <alignment horizontal="left"/>
    </xf>
    <xf numFmtId="164" fontId="20" fillId="23" borderId="0" xfId="0" applyFont="1" applyFill="1"/>
    <xf numFmtId="164" fontId="20" fillId="21" borderId="0" xfId="0" applyFont="1" applyFill="1"/>
    <xf numFmtId="164" fontId="20" fillId="21" borderId="0" xfId="0" applyFont="1" applyFill="1" applyAlignment="1">
      <alignment horizontal="center"/>
    </xf>
    <xf numFmtId="164" fontId="34" fillId="20" borderId="0" xfId="0" applyFont="1" applyFill="1" applyAlignment="1">
      <alignment horizontal="center"/>
    </xf>
    <xf numFmtId="164" fontId="34" fillId="20" borderId="0" xfId="0" applyFont="1" applyFill="1"/>
    <xf numFmtId="164" fontId="20" fillId="22" borderId="0" xfId="0" applyFont="1" applyFill="1" applyAlignment="1">
      <alignment horizontal="center"/>
    </xf>
    <xf numFmtId="164" fontId="20" fillId="21" borderId="0" xfId="0" applyFont="1" applyFill="1" applyAlignment="1">
      <alignment horizontal="center" wrapText="1"/>
    </xf>
    <xf numFmtId="164" fontId="20" fillId="0" borderId="0" xfId="0" applyFont="1" applyFill="1" applyAlignment="1">
      <alignment horizontal="left"/>
    </xf>
    <xf numFmtId="164" fontId="15" fillId="0" borderId="0" xfId="0" applyFont="1" applyFill="1"/>
    <xf numFmtId="164" fontId="15" fillId="0" borderId="0" xfId="0" applyFont="1" applyFill="1" applyAlignment="1">
      <alignment horizontal="left"/>
    </xf>
    <xf numFmtId="164" fontId="20" fillId="23" borderId="0" xfId="0" applyFont="1" applyFill="1" applyAlignment="1">
      <alignment horizontal="left"/>
    </xf>
    <xf numFmtId="164" fontId="34" fillId="20" borderId="0" xfId="0" applyFont="1" applyFill="1" applyAlignment="1">
      <alignment horizontal="left"/>
    </xf>
    <xf numFmtId="164" fontId="20" fillId="0" borderId="0" xfId="0" applyFont="1" applyAlignment="1">
      <alignment horizontal="left" wrapText="1"/>
    </xf>
    <xf numFmtId="164" fontId="20" fillId="23" borderId="0" xfId="0" applyFont="1" applyFill="1" applyAlignment="1">
      <alignment horizontal="center"/>
    </xf>
    <xf numFmtId="164" fontId="15" fillId="0" borderId="0" xfId="0" applyFont="1" applyFill="1" applyAlignment="1">
      <alignment horizontal="center"/>
    </xf>
    <xf numFmtId="164" fontId="20" fillId="22" borderId="0" xfId="0" applyFont="1" applyFill="1"/>
    <xf numFmtId="4" fontId="24" fillId="23" borderId="3" xfId="0" applyNumberFormat="1" applyFont="1" applyFill="1" applyBorder="1" applyAlignment="1" applyProtection="1">
      <alignment horizontal="center" vertical="top"/>
      <protection locked="0"/>
    </xf>
    <xf numFmtId="164" fontId="34" fillId="20" borderId="0" xfId="0" applyFont="1" applyFill="1" applyAlignment="1">
      <alignment vertical="center"/>
    </xf>
    <xf numFmtId="164" fontId="20" fillId="0" borderId="0" xfId="0" applyFont="1" applyAlignment="1">
      <alignment vertical="center"/>
    </xf>
    <xf numFmtId="164" fontId="20" fillId="0" borderId="0" xfId="0" applyFont="1" applyFill="1" applyAlignment="1">
      <alignment vertical="center"/>
    </xf>
    <xf numFmtId="164" fontId="17" fillId="0" borderId="0" xfId="0" applyFont="1" applyAlignment="1" applyProtection="1">
      <alignment horizontal="center" vertical="top"/>
      <protection locked="0"/>
    </xf>
    <xf numFmtId="164" fontId="20" fillId="0" borderId="0" xfId="0" applyFont="1" applyProtection="1">
      <protection locked="0"/>
    </xf>
    <xf numFmtId="43" fontId="20" fillId="0" borderId="0" xfId="1" applyFont="1" applyProtection="1">
      <protection hidden="1"/>
    </xf>
    <xf numFmtId="164" fontId="42" fillId="0" borderId="0" xfId="0" applyFont="1"/>
    <xf numFmtId="14" fontId="42" fillId="0" borderId="0" xfId="0" applyNumberFormat="1" applyFont="1"/>
    <xf numFmtId="10" fontId="42" fillId="0" borderId="0" xfId="11" applyNumberFormat="1" applyFont="1"/>
    <xf numFmtId="164" fontId="42" fillId="0" borderId="0" xfId="0" applyFont="1" applyFill="1"/>
    <xf numFmtId="164" fontId="15" fillId="0" borderId="0" xfId="0" applyNumberFormat="1" applyFont="1" applyBorder="1" applyAlignment="1" applyProtection="1">
      <alignment horizontal="right" vertical="center"/>
      <protection hidden="1"/>
    </xf>
    <xf numFmtId="164" fontId="15" fillId="0" borderId="0" xfId="0" applyNumberFormat="1" applyFont="1" applyFill="1" applyAlignment="1" applyProtection="1">
      <alignment horizontal="right"/>
      <protection hidden="1"/>
    </xf>
    <xf numFmtId="44" fontId="20" fillId="0" borderId="0" xfId="2" applyFont="1" applyFill="1" applyBorder="1" applyProtection="1">
      <protection hidden="1"/>
    </xf>
    <xf numFmtId="15" fontId="20" fillId="0" borderId="0" xfId="0" applyNumberFormat="1" applyFont="1" applyAlignment="1">
      <alignment horizontal="left"/>
    </xf>
    <xf numFmtId="39" fontId="15" fillId="0" borderId="6" xfId="2" applyNumberFormat="1" applyFont="1" applyFill="1" applyBorder="1" applyAlignment="1" applyProtection="1">
      <alignment horizontal="center" vertical="center"/>
      <protection hidden="1"/>
    </xf>
    <xf numFmtId="44" fontId="42" fillId="0" borderId="0" xfId="2" applyFont="1"/>
    <xf numFmtId="44" fontId="42" fillId="0" borderId="0" xfId="2" applyFont="1" applyAlignment="1">
      <alignment horizontal="right"/>
    </xf>
    <xf numFmtId="1" fontId="15" fillId="22" borderId="3" xfId="0" applyNumberFormat="1" applyFont="1" applyFill="1" applyBorder="1" applyAlignment="1" applyProtection="1">
      <alignment horizontal="center"/>
      <protection hidden="1"/>
    </xf>
    <xf numFmtId="49" fontId="24" fillId="23" borderId="3" xfId="0" applyNumberFormat="1" applyFont="1" applyFill="1" applyBorder="1" applyAlignment="1" applyProtection="1">
      <alignment horizontal="center" vertical="top"/>
      <protection locked="0"/>
    </xf>
    <xf numFmtId="164" fontId="24" fillId="23" borderId="3" xfId="0" applyFont="1" applyFill="1" applyBorder="1" applyAlignment="1" applyProtection="1">
      <alignment horizontal="center" vertical="top"/>
      <protection locked="0"/>
    </xf>
    <xf numFmtId="14" fontId="24" fillId="23" borderId="3" xfId="0" applyNumberFormat="1" applyFont="1" applyFill="1" applyBorder="1" applyAlignment="1" applyProtection="1">
      <alignment horizontal="center" vertical="top"/>
      <protection locked="0"/>
    </xf>
    <xf numFmtId="164" fontId="24" fillId="0" borderId="0" xfId="0" applyNumberFormat="1" applyFont="1" applyFill="1" applyBorder="1" applyAlignment="1" applyProtection="1">
      <alignment horizontal="center" vertical="top"/>
      <protection hidden="1"/>
    </xf>
    <xf numFmtId="164" fontId="29" fillId="20" borderId="0" xfId="0" applyFont="1" applyFill="1" applyAlignment="1" applyProtection="1">
      <alignment horizontal="center" vertical="top"/>
      <protection hidden="1"/>
    </xf>
    <xf numFmtId="164" fontId="30" fillId="20" borderId="0" xfId="0" applyFont="1" applyFill="1" applyAlignment="1" applyProtection="1">
      <alignment horizontal="center" vertical="top"/>
      <protection hidden="1"/>
    </xf>
    <xf numFmtId="164" fontId="24" fillId="0" borderId="0" xfId="0" applyNumberFormat="1" applyFont="1" applyBorder="1" applyAlignment="1" applyProtection="1">
      <alignment horizontal="left" vertical="top"/>
      <protection hidden="1"/>
    </xf>
    <xf numFmtId="164" fontId="30" fillId="20" borderId="26" xfId="0" applyFont="1" applyFill="1" applyBorder="1" applyAlignment="1" applyProtection="1">
      <alignment horizontal="center" vertical="top"/>
      <protection hidden="1"/>
    </xf>
    <xf numFmtId="164" fontId="30" fillId="20" borderId="34" xfId="0" applyFont="1" applyFill="1" applyBorder="1" applyAlignment="1" applyProtection="1">
      <alignment horizontal="center" vertical="top"/>
      <protection hidden="1"/>
    </xf>
    <xf numFmtId="49" fontId="24" fillId="23" borderId="4" xfId="0" applyNumberFormat="1" applyFont="1" applyFill="1" applyBorder="1" applyAlignment="1" applyProtection="1">
      <alignment horizontal="center" vertical="top"/>
      <protection locked="0"/>
    </xf>
    <xf numFmtId="49" fontId="24" fillId="23" borderId="9" xfId="0" applyNumberFormat="1" applyFont="1" applyFill="1" applyBorder="1" applyAlignment="1" applyProtection="1">
      <alignment horizontal="center" vertical="top"/>
      <protection locked="0"/>
    </xf>
    <xf numFmtId="164" fontId="31" fillId="20" borderId="0" xfId="0" applyNumberFormat="1" applyFont="1" applyFill="1" applyAlignment="1" applyProtection="1">
      <alignment horizontal="center"/>
      <protection hidden="1"/>
    </xf>
    <xf numFmtId="164" fontId="32" fillId="20" borderId="0" xfId="0" applyFont="1" applyFill="1" applyAlignment="1" applyProtection="1">
      <alignment horizontal="center"/>
      <protection hidden="1"/>
    </xf>
    <xf numFmtId="164" fontId="35" fillId="0" borderId="0" xfId="0" applyNumberFormat="1" applyFont="1" applyBorder="1" applyAlignment="1" applyProtection="1">
      <alignment horizontal="right"/>
      <protection hidden="1"/>
    </xf>
    <xf numFmtId="164" fontId="14" fillId="0" borderId="0" xfId="0" applyFont="1" applyBorder="1" applyAlignment="1" applyProtection="1">
      <alignment horizontal="center"/>
      <protection hidden="1"/>
    </xf>
    <xf numFmtId="164" fontId="15" fillId="0" borderId="0" xfId="0" applyFont="1" applyBorder="1" applyAlignment="1" applyProtection="1">
      <alignment horizontal="right"/>
      <protection hidden="1"/>
    </xf>
    <xf numFmtId="164" fontId="14" fillId="0" borderId="0" xfId="0" applyFont="1" applyFill="1" applyBorder="1" applyAlignment="1" applyProtection="1">
      <alignment horizontal="center"/>
      <protection hidden="1"/>
    </xf>
    <xf numFmtId="168" fontId="15" fillId="21" borderId="4" xfId="0" applyNumberFormat="1" applyFont="1" applyFill="1" applyBorder="1" applyAlignment="1" applyProtection="1">
      <alignment horizontal="center"/>
      <protection hidden="1"/>
    </xf>
    <xf numFmtId="168" fontId="15" fillId="21" borderId="9" xfId="0" applyNumberFormat="1" applyFont="1" applyFill="1" applyBorder="1" applyAlignment="1" applyProtection="1">
      <alignment horizontal="center"/>
      <protection hidden="1"/>
    </xf>
    <xf numFmtId="164" fontId="15" fillId="0" borderId="6" xfId="0" applyFont="1" applyBorder="1" applyAlignment="1" applyProtection="1">
      <alignment horizontal="center" vertical="center"/>
      <protection hidden="1"/>
    </xf>
    <xf numFmtId="49" fontId="15" fillId="0" borderId="6" xfId="0" applyNumberFormat="1" applyFont="1" applyBorder="1" applyAlignment="1" applyProtection="1">
      <alignment horizontal="center"/>
      <protection hidden="1"/>
    </xf>
    <xf numFmtId="164" fontId="20" fillId="21" borderId="4" xfId="0" applyFont="1" applyFill="1" applyBorder="1" applyAlignment="1" applyProtection="1">
      <alignment horizontal="center"/>
      <protection hidden="1"/>
    </xf>
    <xf numFmtId="164" fontId="20" fillId="21" borderId="9" xfId="0" applyFont="1" applyFill="1" applyBorder="1" applyAlignment="1" applyProtection="1">
      <alignment horizontal="center"/>
      <protection hidden="1"/>
    </xf>
    <xf numFmtId="164" fontId="15" fillId="0" borderId="0" xfId="0" applyNumberFormat="1" applyFont="1" applyBorder="1" applyAlignment="1" applyProtection="1">
      <alignment horizontal="right"/>
      <protection hidden="1"/>
    </xf>
    <xf numFmtId="170" fontId="15" fillId="0" borderId="6" xfId="0" applyNumberFormat="1" applyFont="1" applyBorder="1" applyAlignment="1" applyProtection="1">
      <alignment horizontal="center"/>
      <protection hidden="1"/>
    </xf>
    <xf numFmtId="164" fontId="20" fillId="0" borderId="0" xfId="0" applyNumberFormat="1" applyFont="1" applyFill="1" applyBorder="1" applyAlignment="1" applyProtection="1">
      <alignment horizontal="center"/>
      <protection hidden="1"/>
    </xf>
    <xf numFmtId="164" fontId="15" fillId="0" borderId="6" xfId="0" applyNumberFormat="1" applyFont="1" applyFill="1" applyBorder="1" applyAlignment="1" applyProtection="1">
      <alignment horizontal="center"/>
      <protection hidden="1"/>
    </xf>
    <xf numFmtId="164" fontId="20" fillId="0" borderId="6" xfId="0" applyFont="1" applyBorder="1" applyAlignment="1">
      <alignment horizontal="center"/>
    </xf>
    <xf numFmtId="164" fontId="15" fillId="0" borderId="11" xfId="0" applyNumberFormat="1" applyFont="1" applyFill="1" applyBorder="1" applyAlignment="1" applyProtection="1">
      <alignment horizontal="center"/>
      <protection hidden="1"/>
    </xf>
    <xf numFmtId="164" fontId="15" fillId="0" borderId="0" xfId="0" applyNumberFormat="1" applyFont="1" applyFill="1" applyBorder="1" applyAlignment="1" applyProtection="1">
      <alignment horizontal="center"/>
      <protection hidden="1"/>
    </xf>
    <xf numFmtId="164" fontId="32" fillId="20" borderId="0" xfId="0" applyFont="1" applyFill="1" applyBorder="1" applyAlignment="1" applyProtection="1">
      <alignment horizontal="center"/>
      <protection hidden="1"/>
    </xf>
    <xf numFmtId="164" fontId="33" fillId="20" borderId="0" xfId="0" applyFont="1" applyFill="1" applyAlignment="1">
      <alignment horizontal="center"/>
    </xf>
    <xf numFmtId="164" fontId="15" fillId="0" borderId="0" xfId="0" applyFont="1" applyAlignment="1">
      <alignment horizontal="left" wrapText="1"/>
    </xf>
  </cellXfs>
  <cellStyles count="12">
    <cellStyle name="Comma" xfId="1" builtinId="3"/>
    <cellStyle name="Currency" xfId="2" builtinId="4"/>
    <cellStyle name="Grey" xfId="3" xr:uid="{00000000-0005-0000-0000-000002000000}"/>
    <cellStyle name="Grey 2" xfId="4" xr:uid="{00000000-0005-0000-0000-000003000000}"/>
    <cellStyle name="Header1" xfId="5" xr:uid="{00000000-0005-0000-0000-000004000000}"/>
    <cellStyle name="Header2" xfId="6" xr:uid="{00000000-0005-0000-0000-000005000000}"/>
    <cellStyle name="Input [yellow]" xfId="7" xr:uid="{00000000-0005-0000-0000-000006000000}"/>
    <cellStyle name="Input [yellow] 2" xfId="8" xr:uid="{00000000-0005-0000-0000-000007000000}"/>
    <cellStyle name="Normal" xfId="0" builtinId="0"/>
    <cellStyle name="Normal - Style1" xfId="9" xr:uid="{00000000-0005-0000-0000-000009000000}"/>
    <cellStyle name="Percent" xfId="11" builtinId="5"/>
    <cellStyle name="Percent [2]" xfId="10" xr:uid="{00000000-0005-0000-0000-00000A000000}"/>
  </cellStyles>
  <dxfs count="0"/>
  <tableStyles count="0" defaultTableStyle="TableStyleMedium9" defaultPivotStyle="PivotStyleLight16"/>
  <colors>
    <mruColors>
      <color rgb="FFC0C0C0"/>
      <color rgb="FFFFEEBD"/>
      <color rgb="FFA0E6F2"/>
      <color rgb="FF0A0C4A"/>
      <color rgb="FF009999"/>
      <color rgb="FFFFF3D1"/>
      <color rgb="FF474747"/>
      <color rgb="FFFFE497"/>
      <color rgb="FFFFC112"/>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8.25" x14ac:dyDescent="0.15"/>
  <sheetData/>
  <phoneticPr fontId="2"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8C6DD-71FD-4186-8DA9-1C538356A853}">
  <dimension ref="A1:IV38"/>
  <sheetViews>
    <sheetView showGridLines="0" zoomScaleNormal="100" workbookViewId="0">
      <selection activeCell="I6" sqref="I6"/>
    </sheetView>
  </sheetViews>
  <sheetFormatPr defaultColWidth="10" defaultRowHeight="15" customHeight="1" x14ac:dyDescent="0.35"/>
  <cols>
    <col min="1" max="1" width="35.59765625" style="59" customWidth="1"/>
    <col min="2" max="2" width="35" style="59" customWidth="1"/>
    <col min="3" max="3" width="6.59765625" style="59" customWidth="1"/>
    <col min="4" max="4" width="14.59765625" style="59" hidden="1" customWidth="1"/>
    <col min="5" max="5" width="28" style="59" hidden="1" customWidth="1"/>
    <col min="6" max="6" width="18.796875" style="59" customWidth="1"/>
    <col min="7" max="7" width="17.796875" style="59" customWidth="1"/>
    <col min="8" max="9" width="20.19921875" style="59" customWidth="1"/>
    <col min="10" max="10" width="20" style="59" customWidth="1"/>
    <col min="11" max="11" width="25" style="59" customWidth="1"/>
    <col min="12" max="12" width="20.796875" style="59" customWidth="1"/>
    <col min="13" max="208" width="10" style="59"/>
    <col min="209" max="209" width="2" style="59" customWidth="1"/>
    <col min="210" max="16384" width="10" style="59"/>
  </cols>
  <sheetData>
    <row r="1" spans="1:256" ht="30.75" customHeight="1" x14ac:dyDescent="0.45">
      <c r="A1" s="426" t="s">
        <v>163</v>
      </c>
      <c r="B1" s="426"/>
      <c r="C1" s="426"/>
      <c r="D1" s="426"/>
      <c r="E1" s="426"/>
      <c r="F1" s="426"/>
      <c r="G1" s="426"/>
      <c r="H1" s="426"/>
      <c r="I1" s="426"/>
      <c r="J1" s="426"/>
      <c r="K1" s="426"/>
    </row>
    <row r="2" spans="1:256" ht="15" customHeight="1" x14ac:dyDescent="0.35">
      <c r="A2" s="427" t="s">
        <v>156</v>
      </c>
      <c r="B2" s="427"/>
      <c r="C2" s="427"/>
      <c r="D2" s="427"/>
      <c r="E2" s="427"/>
      <c r="F2" s="427"/>
      <c r="G2" s="427"/>
      <c r="H2" s="427"/>
      <c r="I2" s="427"/>
      <c r="J2" s="427"/>
      <c r="K2" s="427"/>
    </row>
    <row r="3" spans="1:256" ht="15" customHeight="1" x14ac:dyDescent="0.35">
      <c r="A3" s="29" t="s">
        <v>22</v>
      </c>
      <c r="B3" s="30"/>
      <c r="C3" s="332"/>
      <c r="F3" s="29" t="s">
        <v>18</v>
      </c>
      <c r="G3" s="77"/>
      <c r="I3" s="31" t="s">
        <v>103</v>
      </c>
      <c r="J3" s="78"/>
      <c r="K3" s="31" t="s">
        <v>104</v>
      </c>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row>
    <row r="4" spans="1:256" ht="15" customHeight="1" x14ac:dyDescent="0.35">
      <c r="A4" s="79">
        <f>'Budget Plan '!A4</f>
        <v>0</v>
      </c>
      <c r="B4" s="80"/>
      <c r="C4" s="6"/>
      <c r="D4" s="76"/>
      <c r="F4" s="439">
        <f>'Budget Plan '!C4</f>
        <v>0</v>
      </c>
      <c r="G4" s="439"/>
      <c r="I4" s="35">
        <f>'Budget Plan '!F4</f>
        <v>0</v>
      </c>
      <c r="J4" s="78"/>
      <c r="K4" s="36">
        <f>'Budget Plan '!H4</f>
        <v>0</v>
      </c>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row>
    <row r="5" spans="1:256" ht="15" customHeight="1" x14ac:dyDescent="0.35">
      <c r="E5" s="76"/>
      <c r="G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row>
    <row r="6" spans="1:256" ht="15" customHeight="1" x14ac:dyDescent="0.35">
      <c r="A6" s="81"/>
      <c r="B6" s="81"/>
      <c r="C6" s="81"/>
      <c r="D6" s="84"/>
      <c r="E6" s="81"/>
      <c r="F6" s="438" t="s">
        <v>5</v>
      </c>
      <c r="G6" s="438"/>
      <c r="H6" s="438"/>
      <c r="I6" s="281"/>
      <c r="J6" s="81"/>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row>
    <row r="7" spans="1:256" ht="15" customHeight="1" x14ac:dyDescent="0.35">
      <c r="A7" s="32" t="s">
        <v>182</v>
      </c>
      <c r="B7" s="301"/>
      <c r="C7" s="85"/>
      <c r="D7" s="86"/>
      <c r="E7" s="30" t="s">
        <v>11</v>
      </c>
      <c r="F7" s="30" t="s">
        <v>9</v>
      </c>
      <c r="G7" s="30" t="s">
        <v>10</v>
      </c>
      <c r="H7" s="30" t="s">
        <v>4</v>
      </c>
      <c r="I7" s="30" t="s">
        <v>13</v>
      </c>
      <c r="J7" s="30" t="s">
        <v>14</v>
      </c>
      <c r="K7" s="30" t="s">
        <v>15</v>
      </c>
    </row>
    <row r="8" spans="1:256" ht="15" customHeight="1" x14ac:dyDescent="0.35">
      <c r="A8" s="87" t="s">
        <v>283</v>
      </c>
      <c r="B8" s="87"/>
      <c r="C8" s="87"/>
      <c r="E8" s="88">
        <v>17.52</v>
      </c>
      <c r="F8" s="282"/>
      <c r="G8" s="277"/>
      <c r="H8" s="283">
        <v>1</v>
      </c>
      <c r="I8" s="235">
        <f>ROUND(((F8*(I6/12))/(H8))+(((G8))/(H8)),1)</f>
        <v>0</v>
      </c>
      <c r="J8" s="244">
        <f>(E8*F8)/(H8)</f>
        <v>0</v>
      </c>
      <c r="K8" s="236">
        <f>ROUND((E8*G8)/(H8),2)</f>
        <v>0</v>
      </c>
    </row>
    <row r="9" spans="1:256" ht="15" customHeight="1" x14ac:dyDescent="0.35">
      <c r="A9" s="87" t="s">
        <v>283</v>
      </c>
      <c r="B9" s="87"/>
      <c r="C9" s="87"/>
      <c r="E9" s="88">
        <v>17.52</v>
      </c>
      <c r="F9" s="284"/>
      <c r="G9" s="277"/>
      <c r="H9" s="283">
        <v>2</v>
      </c>
      <c r="I9" s="235">
        <f>ROUND(((F9*(I6/12))/(H9))+(((G9))/(H9)),1)</f>
        <v>0</v>
      </c>
      <c r="J9" s="244">
        <f>(E9*F9)/(H9)</f>
        <v>0</v>
      </c>
      <c r="K9" s="236">
        <f>ROUND((E9*G9)/(H9),2)</f>
        <v>0</v>
      </c>
    </row>
    <row r="10" spans="1:256" ht="15" customHeight="1" x14ac:dyDescent="0.35">
      <c r="A10" s="87" t="s">
        <v>283</v>
      </c>
      <c r="B10" s="87"/>
      <c r="C10" s="87"/>
      <c r="E10" s="88">
        <v>17.52</v>
      </c>
      <c r="F10" s="279"/>
      <c r="G10" s="277"/>
      <c r="H10" s="283">
        <v>3</v>
      </c>
      <c r="I10" s="235">
        <f>ROUND(((F10*(I6/12))/(H10))+(((G10))/(H10)),1)</f>
        <v>0</v>
      </c>
      <c r="J10" s="244">
        <f>(E10*F10)/(H10)</f>
        <v>0</v>
      </c>
      <c r="K10" s="236">
        <f>ROUND((E10*G10)/(H10),2)</f>
        <v>0</v>
      </c>
    </row>
    <row r="11" spans="1:256" ht="15" customHeight="1" x14ac:dyDescent="0.35">
      <c r="A11" s="87" t="s">
        <v>283</v>
      </c>
      <c r="B11" s="87"/>
      <c r="C11" s="87"/>
      <c r="E11" s="90">
        <v>17.52</v>
      </c>
      <c r="F11" s="285"/>
      <c r="G11" s="277"/>
      <c r="H11" s="283">
        <v>4</v>
      </c>
      <c r="I11" s="235">
        <f>ROUND(((F11*(I6/12))/(H11))+(((G11))/(H11)),1)</f>
        <v>0</v>
      </c>
      <c r="J11" s="245">
        <f>(E11*F11)/(H11)</f>
        <v>0</v>
      </c>
      <c r="K11" s="236">
        <f>ROUND((E11*G11)/(H11),2)</f>
        <v>0</v>
      </c>
    </row>
    <row r="12" spans="1:256" ht="15" customHeight="1" x14ac:dyDescent="0.35">
      <c r="A12" s="76"/>
      <c r="B12" s="76"/>
      <c r="C12" s="76"/>
      <c r="D12" s="91"/>
      <c r="E12" s="323" t="s">
        <v>100</v>
      </c>
      <c r="F12" s="324">
        <f>SUM(F8:F11)</f>
        <v>0</v>
      </c>
      <c r="G12" s="327" t="s">
        <v>101</v>
      </c>
      <c r="H12" s="328"/>
      <c r="I12" s="325">
        <f>SUM(I8:I11)</f>
        <v>0</v>
      </c>
      <c r="J12" s="248">
        <f>SUM(J8:J11)</f>
        <v>0</v>
      </c>
      <c r="K12" s="248">
        <f>SUM(K8:K11)</f>
        <v>0</v>
      </c>
    </row>
    <row r="13" spans="1:256" ht="15" customHeight="1" x14ac:dyDescent="0.35">
      <c r="A13" s="76"/>
      <c r="B13" s="76"/>
      <c r="C13" s="76"/>
      <c r="G13" s="96" t="s">
        <v>93</v>
      </c>
      <c r="H13" s="246">
        <f>IFERROR(ROUND(+I12*12/I6,2),0)</f>
        <v>0</v>
      </c>
      <c r="I13" s="97"/>
      <c r="J13" s="94"/>
      <c r="K13" s="95"/>
    </row>
    <row r="14" spans="1:256" ht="15" customHeight="1" x14ac:dyDescent="0.35">
      <c r="A14" s="76"/>
      <c r="B14" s="76"/>
      <c r="C14" s="76"/>
      <c r="E14" s="96"/>
      <c r="F14" s="97"/>
      <c r="G14" s="6"/>
      <c r="H14" s="6"/>
      <c r="I14" s="97"/>
      <c r="J14" s="94"/>
      <c r="K14" s="95"/>
    </row>
    <row r="15" spans="1:256" ht="15" customHeight="1" x14ac:dyDescent="0.35">
      <c r="A15" s="100"/>
      <c r="B15" s="100"/>
      <c r="C15" s="100"/>
      <c r="D15" s="98"/>
      <c r="F15" s="76"/>
      <c r="G15" s="151"/>
      <c r="H15" s="152"/>
      <c r="I15" s="155"/>
      <c r="J15" s="153" t="s">
        <v>59</v>
      </c>
      <c r="K15" s="240">
        <f>IFERROR((($K$12*12/$I$6)+J12)*0.335+6.84,0)</f>
        <v>0</v>
      </c>
    </row>
    <row r="16" spans="1:256" ht="15" customHeight="1" x14ac:dyDescent="0.35">
      <c r="A16" s="76"/>
      <c r="B16" s="76"/>
      <c r="C16" s="76"/>
      <c r="D16" s="76"/>
      <c r="F16" s="78"/>
      <c r="G16" s="81"/>
      <c r="H16" s="6"/>
      <c r="I16" s="30" t="s">
        <v>170</v>
      </c>
      <c r="J16" s="95"/>
      <c r="K16" s="81"/>
      <c r="L16" s="76"/>
      <c r="M16" s="76"/>
      <c r="N16" s="76"/>
    </row>
    <row r="17" spans="1:15" ht="15" hidden="1" customHeight="1" thickBot="1" x14ac:dyDescent="0.4">
      <c r="A17" s="76"/>
      <c r="B17" s="76"/>
      <c r="C17" s="76"/>
      <c r="D17" s="76"/>
      <c r="F17" s="78"/>
      <c r="G17" s="81"/>
      <c r="H17" s="78"/>
      <c r="I17" s="101"/>
      <c r="J17" s="326" t="e">
        <f>ROUND(ROUND(ROUND(ROUND(ROUND(ROUND(IF(ROUND(((K15+J12+($K$12*12/I6))*1.0288),2)&gt;151.41,151.41,ROUND(((K15+J12+($K$12*12/I6))*1.0288),2))*1.008,2)*1.105,2)*1.0018,2)*1.08,2)*1.03,2)*1.021,2)</f>
        <v>#DIV/0!</v>
      </c>
      <c r="K17" s="81"/>
      <c r="L17" s="76"/>
      <c r="M17" s="76"/>
      <c r="N17" s="76"/>
    </row>
    <row r="18" spans="1:15" ht="15" customHeight="1" x14ac:dyDescent="0.35">
      <c r="A18" s="76"/>
      <c r="B18" s="76"/>
      <c r="C18" s="76"/>
      <c r="D18" s="76"/>
      <c r="F18" s="78"/>
      <c r="G18" s="81"/>
      <c r="H18" s="78"/>
      <c r="I18" s="96" t="s">
        <v>31</v>
      </c>
      <c r="J18" s="240">
        <f>IFERROR(ROUND(ROUND(ROUND(ROUND(ROUND(J17*1.0096,2)*1.005772,2)*'rate increase'!C2,2)*'rate increase'!C3,2)*'rate increase'!C6,2),0)</f>
        <v>0</v>
      </c>
      <c r="K18" s="81"/>
      <c r="L18" s="76"/>
      <c r="M18" s="76"/>
      <c r="N18" s="76"/>
    </row>
    <row r="19" spans="1:15" ht="15" customHeight="1" x14ac:dyDescent="0.35">
      <c r="D19" s="102"/>
      <c r="F19" s="103"/>
      <c r="G19" s="38"/>
      <c r="H19" s="38"/>
      <c r="J19" s="104" t="s">
        <v>25</v>
      </c>
      <c r="K19" s="270">
        <f>SUM(ROUND((J18*(I6)/12),2))</f>
        <v>0</v>
      </c>
      <c r="L19" s="76"/>
      <c r="M19" s="76"/>
      <c r="N19" s="76"/>
    </row>
    <row r="20" spans="1:15" ht="15" customHeight="1" x14ac:dyDescent="0.35">
      <c r="D20" s="102"/>
      <c r="F20" s="103"/>
      <c r="G20" s="38"/>
      <c r="H20" s="38"/>
      <c r="J20" s="105" t="s">
        <v>24</v>
      </c>
      <c r="K20" s="270">
        <f>ROUND((J18*I6),2)</f>
        <v>0</v>
      </c>
      <c r="L20" s="76"/>
      <c r="M20" s="76"/>
      <c r="N20" s="76"/>
    </row>
    <row r="21" spans="1:15" ht="15" customHeight="1" x14ac:dyDescent="0.35">
      <c r="A21" s="48"/>
      <c r="B21" s="17"/>
      <c r="C21" s="13"/>
      <c r="D21" s="48"/>
      <c r="E21" s="49"/>
      <c r="F21" s="49"/>
      <c r="G21" s="50"/>
      <c r="H21" s="50"/>
      <c r="I21" s="52"/>
      <c r="J21" s="106"/>
      <c r="K21" s="107"/>
      <c r="L21" s="76"/>
      <c r="M21" s="76"/>
      <c r="N21" s="76"/>
    </row>
    <row r="22" spans="1:15" ht="15" customHeight="1" x14ac:dyDescent="0.35">
      <c r="A22" s="1" t="str">
        <f>'Budget Plan '!A24</f>
        <v>Revised 7/1/2023</v>
      </c>
      <c r="B22" s="108"/>
      <c r="C22" s="55"/>
      <c r="D22" s="51"/>
      <c r="E22" s="56"/>
      <c r="F22" s="49"/>
      <c r="G22" s="50"/>
      <c r="H22" s="49"/>
      <c r="I22" s="51"/>
      <c r="J22" s="38"/>
      <c r="K22" s="38"/>
      <c r="L22" s="76"/>
      <c r="M22" s="76"/>
      <c r="N22" s="76"/>
    </row>
    <row r="23" spans="1:15" ht="15" customHeight="1" x14ac:dyDescent="0.35">
      <c r="A23" s="4" t="s">
        <v>43</v>
      </c>
      <c r="B23" s="13"/>
      <c r="C23" s="57"/>
      <c r="D23" s="51"/>
      <c r="E23" s="53"/>
      <c r="F23" s="48"/>
      <c r="G23" s="52"/>
      <c r="H23" s="109"/>
      <c r="I23" s="53"/>
      <c r="J23" s="103"/>
      <c r="K23" s="103"/>
      <c r="L23" s="76"/>
      <c r="M23" s="76"/>
      <c r="N23" s="76"/>
    </row>
    <row r="24" spans="1:15" ht="15" customHeight="1" x14ac:dyDescent="0.35">
      <c r="A24" s="4" t="s">
        <v>6</v>
      </c>
      <c r="B24" s="103"/>
      <c r="C24" s="103"/>
      <c r="D24" s="103"/>
      <c r="E24" s="103"/>
      <c r="F24" s="103"/>
      <c r="G24" s="103"/>
      <c r="H24" s="103"/>
      <c r="I24" s="103"/>
      <c r="J24" s="103"/>
      <c r="K24" s="103"/>
      <c r="L24" s="76"/>
      <c r="M24" s="76"/>
      <c r="N24" s="76"/>
    </row>
    <row r="25" spans="1:15" ht="15" customHeight="1" x14ac:dyDescent="0.35">
      <c r="A25" s="106"/>
      <c r="B25" s="106"/>
      <c r="C25" s="106"/>
      <c r="D25" s="106"/>
      <c r="E25" s="106"/>
      <c r="F25" s="106"/>
      <c r="G25" s="106"/>
      <c r="H25" s="106"/>
      <c r="I25" s="106"/>
      <c r="J25" s="106"/>
      <c r="K25" s="106"/>
      <c r="L25" s="110"/>
      <c r="M25" s="110"/>
      <c r="N25" s="110"/>
      <c r="O25" s="111"/>
    </row>
    <row r="26" spans="1:15" ht="15" customHeight="1" x14ac:dyDescent="0.35">
      <c r="A26" s="115"/>
      <c r="B26" s="60"/>
      <c r="C26" s="60"/>
      <c r="D26" s="61"/>
      <c r="E26" s="62"/>
      <c r="F26" s="62"/>
      <c r="G26" s="61"/>
      <c r="H26" s="61"/>
      <c r="I26" s="64"/>
      <c r="J26" s="64"/>
      <c r="K26" s="13"/>
      <c r="L26" s="76"/>
      <c r="M26" s="76"/>
      <c r="N26" s="76"/>
    </row>
    <row r="27" spans="1:15" ht="15" customHeight="1" x14ac:dyDescent="0.35">
      <c r="A27" s="60"/>
      <c r="B27" s="60"/>
      <c r="C27" s="60"/>
      <c r="D27" s="61"/>
      <c r="E27" s="62"/>
      <c r="F27" s="62"/>
      <c r="G27" s="61"/>
      <c r="H27" s="61"/>
      <c r="I27" s="64"/>
      <c r="J27" s="64"/>
      <c r="K27" s="13"/>
      <c r="L27" s="76"/>
      <c r="M27" s="76"/>
      <c r="N27" s="76"/>
    </row>
    <row r="28" spans="1:15" ht="15" customHeight="1" x14ac:dyDescent="0.35">
      <c r="A28" s="60"/>
      <c r="B28" s="60"/>
      <c r="C28" s="60"/>
      <c r="D28" s="61"/>
      <c r="E28" s="62"/>
      <c r="F28" s="62"/>
      <c r="G28" s="61"/>
      <c r="H28" s="61"/>
      <c r="I28" s="64"/>
      <c r="J28" s="64"/>
      <c r="K28" s="13"/>
      <c r="L28" s="76"/>
      <c r="M28" s="76"/>
      <c r="N28" s="76"/>
    </row>
    <row r="29" spans="1:15" ht="15" customHeight="1" x14ac:dyDescent="0.35">
      <c r="A29" s="60"/>
      <c r="B29" s="60"/>
      <c r="C29" s="60"/>
      <c r="D29" s="61"/>
      <c r="E29" s="62"/>
      <c r="F29" s="62"/>
      <c r="G29" s="61"/>
      <c r="H29" s="61"/>
      <c r="I29" s="64"/>
      <c r="J29" s="64"/>
      <c r="K29" s="13"/>
      <c r="L29" s="76"/>
      <c r="M29" s="76"/>
      <c r="N29" s="76"/>
    </row>
    <row r="30" spans="1:15" ht="15" customHeight="1" x14ac:dyDescent="0.35">
      <c r="A30" s="60"/>
      <c r="B30" s="60"/>
      <c r="C30" s="60"/>
      <c r="D30" s="61"/>
      <c r="E30" s="62"/>
      <c r="F30" s="62"/>
      <c r="G30" s="61"/>
      <c r="H30" s="61"/>
      <c r="I30" s="64"/>
      <c r="J30" s="64"/>
      <c r="K30" s="13"/>
      <c r="L30" s="76"/>
      <c r="M30" s="76"/>
      <c r="N30" s="76"/>
    </row>
    <row r="31" spans="1:15" ht="15" customHeight="1" x14ac:dyDescent="0.35">
      <c r="A31" s="103"/>
      <c r="B31" s="103"/>
      <c r="C31" s="103"/>
      <c r="D31" s="103"/>
      <c r="E31" s="103"/>
      <c r="F31" s="103"/>
      <c r="G31" s="103"/>
      <c r="H31" s="103"/>
      <c r="I31" s="103"/>
      <c r="J31" s="103"/>
      <c r="K31" s="103"/>
      <c r="L31" s="76"/>
      <c r="M31" s="76"/>
      <c r="N31" s="76"/>
    </row>
    <row r="32" spans="1:15" ht="15" customHeight="1" x14ac:dyDescent="0.35">
      <c r="A32" s="38"/>
      <c r="B32" s="38"/>
      <c r="C32" s="38"/>
      <c r="D32" s="103"/>
      <c r="E32" s="38"/>
      <c r="F32" s="38"/>
      <c r="G32" s="38"/>
      <c r="H32" s="103"/>
      <c r="I32" s="38"/>
      <c r="J32" s="38"/>
      <c r="K32" s="38"/>
      <c r="M32" s="76"/>
      <c r="N32" s="76"/>
    </row>
    <row r="33" spans="1:14" ht="15" customHeight="1" x14ac:dyDescent="0.35">
      <c r="A33" s="112"/>
      <c r="B33" s="113"/>
      <c r="C33" s="106"/>
      <c r="D33" s="8"/>
      <c r="E33" s="8"/>
      <c r="F33" s="113"/>
      <c r="G33" s="106"/>
      <c r="H33" s="103"/>
      <c r="I33" s="8"/>
      <c r="J33" s="103"/>
      <c r="K33" s="106"/>
      <c r="M33" s="76"/>
      <c r="N33" s="76"/>
    </row>
    <row r="34" spans="1:14" ht="15" customHeight="1" x14ac:dyDescent="0.35">
      <c r="A34" s="103"/>
      <c r="B34" s="8"/>
      <c r="C34" s="8"/>
      <c r="D34" s="8"/>
      <c r="E34" s="8"/>
      <c r="F34" s="8"/>
      <c r="G34" s="8"/>
      <c r="H34" s="8"/>
      <c r="I34" s="8"/>
      <c r="J34" s="114"/>
      <c r="K34" s="114"/>
      <c r="M34" s="76"/>
      <c r="N34" s="76"/>
    </row>
    <row r="35" spans="1:14" ht="15" customHeight="1" x14ac:dyDescent="0.35">
      <c r="A35" s="38"/>
      <c r="B35" s="38"/>
      <c r="C35" s="38"/>
      <c r="D35" s="103"/>
      <c r="E35" s="103"/>
      <c r="F35" s="103"/>
      <c r="G35" s="103"/>
      <c r="H35" s="103"/>
      <c r="I35" s="103"/>
      <c r="J35" s="103"/>
      <c r="K35" s="103"/>
      <c r="L35" s="76"/>
      <c r="M35" s="76"/>
      <c r="N35" s="76"/>
    </row>
    <row r="36" spans="1:14" ht="15" customHeight="1" x14ac:dyDescent="0.35">
      <c r="A36" s="112"/>
      <c r="B36" s="113"/>
      <c r="C36" s="106"/>
      <c r="D36" s="103"/>
      <c r="E36" s="103"/>
      <c r="F36" s="103"/>
      <c r="G36" s="103"/>
      <c r="H36" s="103"/>
      <c r="I36" s="103"/>
      <c r="J36" s="103"/>
      <c r="K36" s="103"/>
      <c r="L36" s="76"/>
      <c r="M36" s="76"/>
      <c r="N36" s="76"/>
    </row>
    <row r="37" spans="1:14" ht="15" customHeight="1" x14ac:dyDescent="0.35">
      <c r="A37" s="112"/>
      <c r="B37" s="8"/>
      <c r="C37" s="103"/>
      <c r="D37" s="103"/>
      <c r="E37" s="103"/>
      <c r="F37" s="103"/>
      <c r="G37" s="103"/>
      <c r="H37" s="103"/>
      <c r="I37" s="103"/>
      <c r="J37" s="103"/>
      <c r="K37" s="103"/>
      <c r="L37" s="76"/>
      <c r="M37" s="76"/>
      <c r="N37" s="76"/>
    </row>
    <row r="38" spans="1:14" ht="15" customHeight="1" x14ac:dyDescent="0.35">
      <c r="L38" s="76"/>
      <c r="M38" s="76"/>
      <c r="N38" s="76"/>
    </row>
  </sheetData>
  <sheetProtection algorithmName="SHA-512" hashValue="XPtHksekyqgsU+HVyx+2ECwvlmKLPUYp/WHtiLMDIuM1WPKKnoAYHQmAgCM0YlIeeDhOLkpFvuXrqyYHus+MgQ==" saltValue="xdI8juaurX9WfUZk7VNstw==" spinCount="100000" sheet="1" selectLockedCells="1"/>
  <mergeCells count="4">
    <mergeCell ref="A1:K1"/>
    <mergeCell ref="A2:K2"/>
    <mergeCell ref="F4:G4"/>
    <mergeCell ref="F6:H6"/>
  </mergeCells>
  <pageMargins left="0.7" right="0.7" top="0.75" bottom="0.75" header="0.3" footer="0.3"/>
  <pageSetup scale="74"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6350D-6693-4CE0-855E-F8C4BB390B46}">
  <dimension ref="A1:IV38"/>
  <sheetViews>
    <sheetView showGridLines="0" zoomScaleNormal="100" workbookViewId="0">
      <selection activeCell="G11" sqref="G11"/>
    </sheetView>
  </sheetViews>
  <sheetFormatPr defaultColWidth="10" defaultRowHeight="15" customHeight="1" x14ac:dyDescent="0.35"/>
  <cols>
    <col min="1" max="1" width="71.3984375" style="59" customWidth="1"/>
    <col min="2" max="2" width="5" style="59" customWidth="1"/>
    <col min="3" max="3" width="15.796875" style="59" hidden="1" customWidth="1"/>
    <col min="4" max="4" width="33.19921875" style="59" hidden="1" customWidth="1"/>
    <col min="5" max="5" width="47.19921875" style="59" hidden="1" customWidth="1"/>
    <col min="6" max="6" width="18.796875" style="59" customWidth="1"/>
    <col min="7" max="7" width="21.59765625" style="59" customWidth="1"/>
    <col min="8" max="8" width="18.3984375" style="59" customWidth="1"/>
    <col min="9" max="9" width="21" style="59" customWidth="1"/>
    <col min="10" max="10" width="20" style="59" customWidth="1"/>
    <col min="11" max="11" width="25" style="59" customWidth="1"/>
    <col min="12" max="12" width="20.796875" style="59" customWidth="1"/>
    <col min="13" max="208" width="10" style="59"/>
    <col min="209" max="209" width="2" style="59" customWidth="1"/>
    <col min="210" max="16384" width="10" style="59"/>
  </cols>
  <sheetData>
    <row r="1" spans="1:256" ht="30" customHeight="1" x14ac:dyDescent="0.45">
      <c r="A1" s="426" t="s">
        <v>238</v>
      </c>
      <c r="B1" s="426"/>
      <c r="C1" s="426"/>
      <c r="D1" s="426"/>
      <c r="E1" s="426"/>
      <c r="F1" s="426"/>
      <c r="G1" s="426"/>
      <c r="H1" s="426"/>
      <c r="I1" s="426"/>
      <c r="J1" s="426"/>
      <c r="K1" s="426"/>
    </row>
    <row r="2" spans="1:256" ht="15" customHeight="1" x14ac:dyDescent="0.35">
      <c r="A2" s="427" t="s">
        <v>157</v>
      </c>
      <c r="B2" s="427"/>
      <c r="C2" s="427"/>
      <c r="D2" s="427"/>
      <c r="E2" s="427"/>
      <c r="F2" s="427"/>
      <c r="G2" s="427"/>
      <c r="H2" s="427"/>
      <c r="I2" s="427"/>
      <c r="J2" s="427"/>
      <c r="K2" s="427"/>
    </row>
    <row r="3" spans="1:256" ht="15" customHeight="1" x14ac:dyDescent="0.35">
      <c r="A3" s="29" t="s">
        <v>22</v>
      </c>
      <c r="B3" s="30"/>
      <c r="C3" s="30"/>
      <c r="F3" s="29" t="s">
        <v>18</v>
      </c>
      <c r="G3" s="77"/>
      <c r="I3" s="31" t="s">
        <v>103</v>
      </c>
      <c r="J3" s="78"/>
      <c r="K3" s="31" t="s">
        <v>104</v>
      </c>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row>
    <row r="4" spans="1:256" ht="15" customHeight="1" x14ac:dyDescent="0.35">
      <c r="A4" s="79">
        <f>'Budget Plan '!A4</f>
        <v>0</v>
      </c>
      <c r="B4" s="6"/>
      <c r="C4" s="6"/>
      <c r="D4" s="76"/>
      <c r="F4" s="439">
        <f>'Budget Plan '!C4</f>
        <v>0</v>
      </c>
      <c r="G4" s="439"/>
      <c r="I4" s="35">
        <f>'Budget Plan '!F4</f>
        <v>0</v>
      </c>
      <c r="J4" s="78"/>
      <c r="K4" s="36">
        <f>'Budget Plan '!H4</f>
        <v>0</v>
      </c>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row>
    <row r="5" spans="1:256" ht="15" customHeight="1" x14ac:dyDescent="0.35">
      <c r="E5" s="76"/>
      <c r="G5" s="76"/>
      <c r="J5" s="76"/>
      <c r="K5" s="81"/>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row>
    <row r="6" spans="1:256" ht="15" customHeight="1" x14ac:dyDescent="0.35">
      <c r="A6" s="81"/>
      <c r="B6" s="81"/>
      <c r="C6" s="81"/>
      <c r="D6" s="84"/>
      <c r="E6" s="81"/>
      <c r="F6" s="438" t="s">
        <v>5</v>
      </c>
      <c r="G6" s="438"/>
      <c r="H6" s="438"/>
      <c r="I6" s="281"/>
      <c r="J6" s="342"/>
      <c r="K6" s="342"/>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row>
    <row r="7" spans="1:256" ht="15" customHeight="1" x14ac:dyDescent="0.35">
      <c r="A7" s="32" t="s">
        <v>182</v>
      </c>
      <c r="B7" s="85"/>
      <c r="C7" s="85"/>
      <c r="D7" s="86"/>
      <c r="E7" s="30" t="s">
        <v>11</v>
      </c>
      <c r="F7" s="30" t="s">
        <v>9</v>
      </c>
      <c r="G7" s="30" t="s">
        <v>10</v>
      </c>
      <c r="H7" s="30" t="s">
        <v>4</v>
      </c>
      <c r="I7" s="30" t="s">
        <v>13</v>
      </c>
      <c r="J7" s="30" t="s">
        <v>14</v>
      </c>
      <c r="K7" s="30" t="s">
        <v>15</v>
      </c>
    </row>
    <row r="8" spans="1:256" ht="15" customHeight="1" x14ac:dyDescent="0.35">
      <c r="A8" s="87" t="s">
        <v>283</v>
      </c>
      <c r="B8" s="87"/>
      <c r="C8" s="87"/>
      <c r="E8" s="88">
        <v>17.52</v>
      </c>
      <c r="F8" s="282"/>
      <c r="G8" s="277"/>
      <c r="H8" s="283">
        <v>1</v>
      </c>
      <c r="I8" s="235">
        <f>ROUND(((F8*(I6/12))/(H8))+(((G8))/(H8)),1)</f>
        <v>0</v>
      </c>
      <c r="J8" s="244">
        <f>(E8*F8)/(H8)</f>
        <v>0</v>
      </c>
      <c r="K8" s="236">
        <f>ROUND((E8*G8)/(H8),2)</f>
        <v>0</v>
      </c>
    </row>
    <row r="9" spans="1:256" ht="15" customHeight="1" x14ac:dyDescent="0.35">
      <c r="A9" s="87" t="s">
        <v>283</v>
      </c>
      <c r="B9" s="87"/>
      <c r="C9" s="87"/>
      <c r="E9" s="88">
        <v>17.52</v>
      </c>
      <c r="F9" s="284"/>
      <c r="G9" s="277"/>
      <c r="H9" s="283">
        <v>2</v>
      </c>
      <c r="I9" s="235">
        <f>ROUND(((F9*(I6/12))/(H9))+(((G9))/(H9)),1)</f>
        <v>0</v>
      </c>
      <c r="J9" s="244">
        <f>(E9*F9)/(H9)</f>
        <v>0</v>
      </c>
      <c r="K9" s="236">
        <f>ROUND((E9*G9)/(H9),2)</f>
        <v>0</v>
      </c>
    </row>
    <row r="10" spans="1:256" ht="15" customHeight="1" x14ac:dyDescent="0.35">
      <c r="A10" s="87" t="s">
        <v>283</v>
      </c>
      <c r="B10" s="87"/>
      <c r="C10" s="87"/>
      <c r="E10" s="88">
        <v>17.52</v>
      </c>
      <c r="F10" s="279"/>
      <c r="G10" s="277"/>
      <c r="H10" s="283">
        <v>3</v>
      </c>
      <c r="I10" s="235">
        <f>ROUND(((F10*(I6/12))/(H10))+(((G10))/(H10)),1)</f>
        <v>0</v>
      </c>
      <c r="J10" s="244">
        <f>(E10*F10)/(H10)</f>
        <v>0</v>
      </c>
      <c r="K10" s="236">
        <f>ROUND((E10*G10)/(H10),2)</f>
        <v>0</v>
      </c>
    </row>
    <row r="11" spans="1:256" ht="15" customHeight="1" x14ac:dyDescent="0.35">
      <c r="A11" s="87" t="s">
        <v>283</v>
      </c>
      <c r="B11" s="87"/>
      <c r="C11" s="87"/>
      <c r="E11" s="90">
        <v>17.52</v>
      </c>
      <c r="F11" s="285"/>
      <c r="G11" s="277"/>
      <c r="H11" s="283">
        <v>4</v>
      </c>
      <c r="I11" s="235">
        <f>ROUND(((F11*(I6/12))/(H11))+(((G11))/(H11)),1)</f>
        <v>0</v>
      </c>
      <c r="J11" s="245">
        <f>(E11*F11)/(H11)</f>
        <v>0</v>
      </c>
      <c r="K11" s="236">
        <f>ROUND((E11*G11)/(H11),2)</f>
        <v>0</v>
      </c>
    </row>
    <row r="12" spans="1:256" ht="15" customHeight="1" x14ac:dyDescent="0.35">
      <c r="A12" s="76"/>
      <c r="B12" s="76"/>
      <c r="C12" s="76"/>
      <c r="D12" s="91"/>
      <c r="E12" s="323" t="s">
        <v>100</v>
      </c>
      <c r="F12" s="324">
        <f>SUM(F8:F11)</f>
        <v>0</v>
      </c>
      <c r="G12" s="327" t="s">
        <v>102</v>
      </c>
      <c r="H12" s="334"/>
      <c r="I12" s="287">
        <f>SUM(I8:I11)</f>
        <v>0</v>
      </c>
      <c r="J12" s="241">
        <f>SUM(J8:J11)</f>
        <v>0</v>
      </c>
      <c r="K12" s="335">
        <f>SUM(K8:K11)</f>
        <v>0</v>
      </c>
    </row>
    <row r="13" spans="1:256" ht="15" customHeight="1" x14ac:dyDescent="0.35">
      <c r="A13" s="76"/>
      <c r="B13" s="76"/>
      <c r="C13" s="76"/>
      <c r="G13" s="96" t="s">
        <v>93</v>
      </c>
      <c r="H13" s="333">
        <f>IFERROR(ROUND(+I12*12/I6,2),0)</f>
        <v>0</v>
      </c>
      <c r="I13" s="97"/>
      <c r="J13" s="94"/>
      <c r="K13" s="147"/>
    </row>
    <row r="14" spans="1:256" ht="15" customHeight="1" x14ac:dyDescent="0.35">
      <c r="A14" s="76"/>
      <c r="B14" s="76"/>
      <c r="C14" s="76"/>
      <c r="E14" s="96"/>
      <c r="F14" s="97"/>
      <c r="G14" s="6"/>
      <c r="H14" s="6"/>
      <c r="I14" s="97"/>
      <c r="J14" s="94"/>
      <c r="K14" s="147"/>
    </row>
    <row r="15" spans="1:256" ht="15" customHeight="1" x14ac:dyDescent="0.35">
      <c r="A15" s="100"/>
      <c r="B15" s="100"/>
      <c r="C15" s="100"/>
      <c r="D15" s="98"/>
      <c r="F15" s="76"/>
      <c r="G15" s="151"/>
      <c r="H15" s="152"/>
      <c r="I15" s="155"/>
      <c r="J15" s="153" t="s">
        <v>59</v>
      </c>
      <c r="K15" s="240">
        <f>IFERROR((($K$12*12/$I$6)+J12)*0.335+6.84,0)</f>
        <v>0</v>
      </c>
    </row>
    <row r="16" spans="1:256" ht="15" customHeight="1" x14ac:dyDescent="0.35">
      <c r="A16" s="76"/>
      <c r="B16" s="76"/>
      <c r="C16" s="76"/>
      <c r="D16" s="76"/>
      <c r="F16" s="78"/>
      <c r="G16" s="81"/>
      <c r="H16" s="6"/>
      <c r="I16" s="30" t="s">
        <v>170</v>
      </c>
      <c r="J16" s="95"/>
      <c r="K16" s="81"/>
      <c r="L16" s="76"/>
      <c r="M16" s="76"/>
      <c r="N16" s="76"/>
    </row>
    <row r="17" spans="1:15" ht="15" hidden="1" customHeight="1" thickBot="1" x14ac:dyDescent="0.4">
      <c r="A17" s="76"/>
      <c r="B17" s="76"/>
      <c r="C17" s="76"/>
      <c r="D17" s="76"/>
      <c r="F17" s="78"/>
      <c r="G17" s="81"/>
      <c r="H17" s="78"/>
      <c r="I17" s="101"/>
      <c r="J17" s="336" t="e">
        <f>ROUND(ROUND(ROUND(ROUND(ROUND(ROUND(IF(ROUND(((K15+J12+($K$12*12/I6))*1.0288),2)=6.8,0,ROUND(((K15+J12+($K$12*12/I6))*1.0288),2))*1.008,2)*1.105,2)*1.0018,2)*1.08,2)*1.03,2)*1.021,2)</f>
        <v>#DIV/0!</v>
      </c>
      <c r="K17" s="81"/>
      <c r="L17" s="76"/>
      <c r="M17" s="76"/>
      <c r="N17" s="76"/>
    </row>
    <row r="18" spans="1:15" ht="15" customHeight="1" x14ac:dyDescent="0.35">
      <c r="A18" s="76"/>
      <c r="B18" s="76"/>
      <c r="C18" s="76"/>
      <c r="D18" s="76"/>
      <c r="F18" s="78"/>
      <c r="G18" s="81"/>
      <c r="H18" s="78"/>
      <c r="I18" s="96" t="s">
        <v>31</v>
      </c>
      <c r="J18" s="240">
        <f>IFERROR(ROUND(ROUND(ROUND(ROUND(ROUND(J17*1.0096,2)*1.005772,2)*'rate increase'!C2,2)*'rate increase'!C3,2)*'rate increase'!C6,2),0)</f>
        <v>0</v>
      </c>
      <c r="K18" s="81"/>
      <c r="L18" s="76"/>
      <c r="M18" s="76"/>
      <c r="N18" s="76"/>
    </row>
    <row r="19" spans="1:15" ht="15" customHeight="1" x14ac:dyDescent="0.35">
      <c r="D19" s="102"/>
      <c r="F19" s="103"/>
      <c r="G19" s="38"/>
      <c r="H19" s="38"/>
      <c r="J19" s="104" t="s">
        <v>25</v>
      </c>
      <c r="K19" s="270">
        <f>SUM(ROUND((J18*(I6)/12),2))</f>
        <v>0</v>
      </c>
      <c r="L19" s="76"/>
      <c r="M19" s="76"/>
      <c r="N19" s="76"/>
    </row>
    <row r="20" spans="1:15" ht="15" customHeight="1" x14ac:dyDescent="0.35">
      <c r="D20" s="102"/>
      <c r="F20" s="103"/>
      <c r="G20" s="38"/>
      <c r="H20" s="38"/>
      <c r="J20" s="105" t="s">
        <v>24</v>
      </c>
      <c r="K20" s="270">
        <f>ROUND((J18*I6),2)</f>
        <v>0</v>
      </c>
      <c r="L20" s="76"/>
      <c r="M20" s="76"/>
      <c r="N20" s="76"/>
    </row>
    <row r="21" spans="1:15" ht="15" customHeight="1" x14ac:dyDescent="0.35">
      <c r="A21" s="48"/>
      <c r="B21" s="17"/>
      <c r="C21" s="13"/>
      <c r="D21" s="48"/>
      <c r="E21" s="49"/>
      <c r="F21" s="49"/>
      <c r="G21" s="50"/>
      <c r="H21" s="50"/>
      <c r="I21" s="52"/>
      <c r="J21" s="106"/>
      <c r="K21" s="107"/>
      <c r="L21" s="76"/>
      <c r="M21" s="76"/>
      <c r="N21" s="76"/>
    </row>
    <row r="22" spans="1:15" ht="15" customHeight="1" x14ac:dyDescent="0.35">
      <c r="A22" s="1" t="str">
        <f>'Budget Plan '!A24</f>
        <v>Revised 7/1/2023</v>
      </c>
      <c r="B22" s="108"/>
      <c r="C22" s="55"/>
      <c r="D22" s="51"/>
      <c r="E22" s="56"/>
      <c r="F22" s="49"/>
      <c r="G22" s="50"/>
      <c r="H22" s="49"/>
      <c r="I22" s="51"/>
      <c r="J22" s="38"/>
      <c r="K22" s="38"/>
      <c r="L22" s="76"/>
      <c r="M22" s="76"/>
      <c r="N22" s="76"/>
    </row>
    <row r="23" spans="1:15" ht="15" customHeight="1" x14ac:dyDescent="0.35">
      <c r="A23" s="4" t="s">
        <v>43</v>
      </c>
      <c r="B23" s="13"/>
      <c r="C23" s="57"/>
      <c r="D23" s="51"/>
      <c r="E23" s="53"/>
      <c r="F23" s="48"/>
      <c r="G23" s="52"/>
      <c r="H23" s="109"/>
      <c r="I23" s="53"/>
      <c r="J23" s="103"/>
      <c r="K23" s="103"/>
      <c r="L23" s="76"/>
      <c r="M23" s="76"/>
      <c r="N23" s="76"/>
    </row>
    <row r="24" spans="1:15" ht="15" customHeight="1" x14ac:dyDescent="0.35">
      <c r="A24" s="4" t="s">
        <v>6</v>
      </c>
      <c r="B24" s="103"/>
      <c r="C24" s="103"/>
      <c r="D24" s="103"/>
      <c r="E24" s="103"/>
      <c r="F24" s="103"/>
      <c r="G24" s="103"/>
      <c r="H24" s="103"/>
      <c r="I24" s="103"/>
      <c r="J24" s="103"/>
      <c r="K24" s="103"/>
      <c r="L24" s="76"/>
      <c r="M24" s="76"/>
      <c r="N24" s="76"/>
    </row>
    <row r="25" spans="1:15" ht="15" customHeight="1" x14ac:dyDescent="0.35">
      <c r="A25" s="106"/>
      <c r="B25" s="106"/>
      <c r="C25" s="106"/>
      <c r="D25" s="106"/>
      <c r="E25" s="106"/>
      <c r="F25" s="106"/>
      <c r="G25" s="106"/>
      <c r="H25" s="106"/>
      <c r="I25" s="106"/>
      <c r="J25" s="106"/>
      <c r="K25" s="106"/>
      <c r="L25" s="110"/>
      <c r="M25" s="110"/>
      <c r="N25" s="110"/>
      <c r="O25" s="111"/>
    </row>
    <row r="26" spans="1:15" ht="15" customHeight="1" x14ac:dyDescent="0.35">
      <c r="A26" s="115"/>
      <c r="B26" s="60"/>
      <c r="C26" s="60"/>
      <c r="D26" s="61"/>
      <c r="E26" s="62"/>
      <c r="F26" s="62"/>
      <c r="G26" s="61"/>
      <c r="H26" s="61"/>
      <c r="I26" s="64"/>
      <c r="J26" s="64"/>
      <c r="K26" s="13"/>
      <c r="L26" s="76"/>
      <c r="M26" s="76"/>
      <c r="N26" s="76"/>
    </row>
    <row r="27" spans="1:15" ht="15" customHeight="1" x14ac:dyDescent="0.35">
      <c r="A27" s="60"/>
      <c r="B27" s="60"/>
      <c r="C27" s="60"/>
      <c r="D27" s="61"/>
      <c r="E27" s="62"/>
      <c r="F27" s="62"/>
      <c r="G27" s="61"/>
      <c r="H27" s="61"/>
      <c r="I27" s="64"/>
      <c r="J27" s="64"/>
      <c r="K27" s="13"/>
      <c r="L27" s="76"/>
      <c r="M27" s="76"/>
      <c r="N27" s="76"/>
    </row>
    <row r="28" spans="1:15" ht="15" customHeight="1" x14ac:dyDescent="0.35">
      <c r="A28" s="60"/>
      <c r="B28" s="60"/>
      <c r="C28" s="60"/>
      <c r="D28" s="61"/>
      <c r="E28" s="62"/>
      <c r="F28" s="62"/>
      <c r="G28" s="61"/>
      <c r="H28" s="61"/>
      <c r="I28" s="64"/>
      <c r="J28" s="64"/>
      <c r="K28" s="13"/>
      <c r="L28" s="76"/>
      <c r="M28" s="76"/>
      <c r="N28" s="76"/>
    </row>
    <row r="29" spans="1:15" ht="15" customHeight="1" x14ac:dyDescent="0.35">
      <c r="A29" s="60"/>
      <c r="B29" s="60"/>
      <c r="C29" s="60"/>
      <c r="D29" s="61"/>
      <c r="E29" s="62"/>
      <c r="F29" s="62"/>
      <c r="G29" s="61"/>
      <c r="H29" s="61"/>
      <c r="I29" s="64"/>
      <c r="J29" s="64"/>
      <c r="K29" s="13"/>
      <c r="L29" s="76"/>
      <c r="M29" s="76"/>
      <c r="N29" s="76"/>
    </row>
    <row r="30" spans="1:15" ht="15" customHeight="1" x14ac:dyDescent="0.35">
      <c r="A30" s="60"/>
      <c r="B30" s="60"/>
      <c r="C30" s="60"/>
      <c r="D30" s="61"/>
      <c r="E30" s="62"/>
      <c r="F30" s="62"/>
      <c r="G30" s="61"/>
      <c r="H30" s="61"/>
      <c r="I30" s="64"/>
      <c r="J30" s="64"/>
      <c r="K30" s="13"/>
      <c r="L30" s="76"/>
      <c r="M30" s="76"/>
      <c r="N30" s="76"/>
    </row>
    <row r="31" spans="1:15" ht="15" customHeight="1" x14ac:dyDescent="0.35">
      <c r="A31" s="103"/>
      <c r="B31" s="103"/>
      <c r="C31" s="103"/>
      <c r="D31" s="103"/>
      <c r="E31" s="103"/>
      <c r="F31" s="103"/>
      <c r="G31" s="103"/>
      <c r="H31" s="103"/>
      <c r="I31" s="103"/>
      <c r="J31" s="103"/>
      <c r="K31" s="103"/>
      <c r="L31" s="76"/>
      <c r="M31" s="76"/>
      <c r="N31" s="76"/>
    </row>
    <row r="32" spans="1:15" ht="15" customHeight="1" x14ac:dyDescent="0.35">
      <c r="A32" s="38"/>
      <c r="B32" s="38"/>
      <c r="C32" s="38"/>
      <c r="D32" s="103"/>
      <c r="E32" s="38"/>
      <c r="F32" s="38"/>
      <c r="G32" s="38"/>
      <c r="H32" s="103"/>
      <c r="I32" s="38"/>
      <c r="J32" s="38"/>
      <c r="K32" s="38"/>
      <c r="M32" s="76"/>
      <c r="N32" s="76"/>
    </row>
    <row r="33" spans="1:14" ht="15" customHeight="1" x14ac:dyDescent="0.35">
      <c r="A33" s="112"/>
      <c r="B33" s="113"/>
      <c r="C33" s="106"/>
      <c r="D33" s="8"/>
      <c r="E33" s="8"/>
      <c r="F33" s="113"/>
      <c r="G33" s="106"/>
      <c r="H33" s="103"/>
      <c r="I33" s="8"/>
      <c r="J33" s="103"/>
      <c r="K33" s="106"/>
      <c r="M33" s="76"/>
      <c r="N33" s="76"/>
    </row>
    <row r="34" spans="1:14" ht="15" customHeight="1" x14ac:dyDescent="0.35">
      <c r="A34" s="103"/>
      <c r="B34" s="8"/>
      <c r="C34" s="8"/>
      <c r="D34" s="8"/>
      <c r="E34" s="8"/>
      <c r="F34" s="8"/>
      <c r="G34" s="8"/>
      <c r="H34" s="8"/>
      <c r="I34" s="8"/>
      <c r="J34" s="114"/>
      <c r="K34" s="114"/>
      <c r="M34" s="76"/>
      <c r="N34" s="76"/>
    </row>
    <row r="35" spans="1:14" ht="15" customHeight="1" x14ac:dyDescent="0.35">
      <c r="A35" s="38"/>
      <c r="B35" s="38"/>
      <c r="C35" s="38"/>
      <c r="D35" s="103"/>
      <c r="E35" s="103"/>
      <c r="F35" s="103"/>
      <c r="G35" s="103"/>
      <c r="H35" s="103"/>
      <c r="I35" s="103"/>
      <c r="J35" s="103"/>
      <c r="K35" s="103"/>
      <c r="L35" s="76"/>
      <c r="M35" s="76"/>
      <c r="N35" s="76"/>
    </row>
    <row r="36" spans="1:14" ht="15" customHeight="1" x14ac:dyDescent="0.35">
      <c r="A36" s="112"/>
      <c r="B36" s="113"/>
      <c r="C36" s="106"/>
      <c r="D36" s="103"/>
      <c r="E36" s="103"/>
      <c r="F36" s="103"/>
      <c r="G36" s="103"/>
      <c r="H36" s="103"/>
      <c r="I36" s="103"/>
      <c r="J36" s="103"/>
      <c r="K36" s="103"/>
      <c r="L36" s="76"/>
      <c r="M36" s="76"/>
      <c r="N36" s="76"/>
    </row>
    <row r="37" spans="1:14" ht="15" customHeight="1" x14ac:dyDescent="0.35">
      <c r="A37" s="112"/>
      <c r="B37" s="8"/>
      <c r="C37" s="103"/>
      <c r="D37" s="103"/>
      <c r="E37" s="103"/>
      <c r="F37" s="103"/>
      <c r="G37" s="103"/>
      <c r="H37" s="103"/>
      <c r="I37" s="103"/>
      <c r="J37" s="103"/>
      <c r="K37" s="103"/>
      <c r="L37" s="76"/>
      <c r="M37" s="76"/>
      <c r="N37" s="76"/>
    </row>
    <row r="38" spans="1:14" ht="15" customHeight="1" x14ac:dyDescent="0.35">
      <c r="L38" s="76"/>
      <c r="M38" s="76"/>
      <c r="N38" s="76"/>
    </row>
  </sheetData>
  <sheetProtection algorithmName="SHA-512" hashValue="36NwfczRDCHKarhnppH5zlj4F+5RyHBsl+WW814m/XdPlVuvgpRIcS5TZ4O7prGCRadfZOoZ7/5YUppN2v0M7A==" saltValue="B/P9eLRNjiVpm3aOecauiQ==" spinCount="100000" sheet="1" selectLockedCells="1"/>
  <mergeCells count="4">
    <mergeCell ref="A1:K1"/>
    <mergeCell ref="A2:K2"/>
    <mergeCell ref="F4:G4"/>
    <mergeCell ref="F6:H6"/>
  </mergeCells>
  <pageMargins left="0.7" right="0.7" top="0.75" bottom="0.75" header="0.3" footer="0.3"/>
  <pageSetup scale="74" orientation="portrait" r:id="rId1"/>
  <rowBreaks count="1" manualBreakCount="1">
    <brk id="26" max="10"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6721B-3F0A-4CBF-9EF8-B7457EDE9F7B}">
  <sheetPr>
    <pageSetUpPr fitToPage="1"/>
  </sheetPr>
  <dimension ref="A1:IV41"/>
  <sheetViews>
    <sheetView showGridLines="0" topLeftCell="A2" zoomScaleNormal="100" workbookViewId="0">
      <selection activeCell="H28" sqref="H28"/>
    </sheetView>
  </sheetViews>
  <sheetFormatPr defaultColWidth="10" defaultRowHeight="15" customHeight="1" x14ac:dyDescent="0.35"/>
  <cols>
    <col min="1" max="1" width="22.19921875" style="59" customWidth="1"/>
    <col min="2" max="2" width="48" style="59" customWidth="1"/>
    <col min="3" max="3" width="7.3984375" style="59" customWidth="1"/>
    <col min="4" max="4" width="14.59765625" style="59" hidden="1" customWidth="1"/>
    <col min="5" max="5" width="28" style="59" hidden="1" customWidth="1"/>
    <col min="6" max="6" width="33.3984375" style="59" customWidth="1"/>
    <col min="7" max="7" width="21.59765625" style="59" customWidth="1"/>
    <col min="8" max="8" width="18.3984375" style="59" customWidth="1"/>
    <col min="9" max="9" width="20.3984375" style="59" customWidth="1"/>
    <col min="10" max="10" width="18.19921875" style="59" customWidth="1"/>
    <col min="11" max="11" width="20.3984375" style="59" customWidth="1"/>
    <col min="12" max="12" width="20.796875" style="59" customWidth="1"/>
    <col min="13" max="208" width="10" style="59"/>
    <col min="209" max="209" width="2" style="59" customWidth="1"/>
    <col min="210" max="16384" width="10" style="59"/>
  </cols>
  <sheetData>
    <row r="1" spans="1:256" ht="15" hidden="1" customHeight="1" x14ac:dyDescent="0.35">
      <c r="A1" s="43" t="str">
        <f>'Budget Plan '!A24</f>
        <v>Revised 7/1/2023</v>
      </c>
      <c r="B1" s="337" t="s">
        <v>166</v>
      </c>
      <c r="C1" s="338">
        <v>10.09</v>
      </c>
      <c r="D1" s="339"/>
      <c r="I1" s="59" t="str">
        <f>'Budget Plan '!A25</f>
        <v>Individualized Budget Plan Software 04-19-02.xls</v>
      </c>
    </row>
    <row r="2" spans="1:256" ht="30.75" customHeight="1" x14ac:dyDescent="0.45">
      <c r="A2" s="426" t="s">
        <v>198</v>
      </c>
      <c r="B2" s="426"/>
      <c r="C2" s="426"/>
      <c r="D2" s="426"/>
      <c r="E2" s="426"/>
      <c r="F2" s="426"/>
      <c r="G2" s="426"/>
      <c r="H2" s="426"/>
      <c r="I2" s="426"/>
      <c r="J2" s="426"/>
      <c r="K2" s="426"/>
    </row>
    <row r="3" spans="1:256" ht="15" customHeight="1" x14ac:dyDescent="0.35">
      <c r="A3" s="445" t="s">
        <v>185</v>
      </c>
      <c r="B3" s="445"/>
      <c r="C3" s="445"/>
      <c r="D3" s="445"/>
      <c r="E3" s="445"/>
      <c r="F3" s="445"/>
      <c r="G3" s="445"/>
      <c r="H3" s="445"/>
      <c r="I3" s="445"/>
      <c r="J3" s="445"/>
      <c r="K3" s="445"/>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row>
    <row r="4" spans="1:256" ht="15" customHeight="1" x14ac:dyDescent="0.35">
      <c r="A4" s="29" t="s">
        <v>85</v>
      </c>
      <c r="B4" s="30"/>
      <c r="C4" s="30"/>
      <c r="F4" s="29" t="s">
        <v>18</v>
      </c>
      <c r="G4" s="340"/>
      <c r="H4" s="31" t="s">
        <v>103</v>
      </c>
      <c r="J4" s="31" t="s">
        <v>104</v>
      </c>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row>
    <row r="5" spans="1:256" ht="15" customHeight="1" x14ac:dyDescent="0.35">
      <c r="A5" s="441">
        <f>'Budget Plan '!A4</f>
        <v>0</v>
      </c>
      <c r="B5" s="442"/>
      <c r="C5" s="6"/>
      <c r="D5" s="76"/>
      <c r="F5" s="34">
        <f>'Budget Plan '!C4</f>
        <v>0</v>
      </c>
      <c r="G5" s="76"/>
      <c r="H5" s="35">
        <f>'Budget Plan '!F4</f>
        <v>0</v>
      </c>
      <c r="I5" s="103"/>
      <c r="J5" s="36">
        <f>'Budget Plan '!H4</f>
        <v>0</v>
      </c>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row>
    <row r="6" spans="1:256" ht="15" customHeight="1" x14ac:dyDescent="0.35">
      <c r="A6" s="29"/>
      <c r="B6" s="29"/>
      <c r="C6" s="29"/>
      <c r="E6" s="76"/>
      <c r="F6" s="100"/>
      <c r="G6" s="38"/>
      <c r="H6" s="103"/>
      <c r="I6" s="78"/>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row>
    <row r="7" spans="1:256" ht="22.5" customHeight="1" thickBot="1" x14ac:dyDescent="0.5">
      <c r="A7" s="426" t="s">
        <v>165</v>
      </c>
      <c r="B7" s="426"/>
      <c r="C7" s="426"/>
      <c r="D7" s="426"/>
      <c r="E7" s="426"/>
      <c r="F7" s="426"/>
      <c r="G7" s="426"/>
      <c r="H7" s="426"/>
      <c r="I7" s="426"/>
      <c r="J7" s="426"/>
      <c r="K7" s="42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c r="IR7" s="76"/>
      <c r="IS7" s="76"/>
      <c r="IT7" s="76"/>
      <c r="IU7" s="76"/>
      <c r="IV7" s="76"/>
    </row>
    <row r="8" spans="1:256" ht="15" customHeight="1" thickTop="1" x14ac:dyDescent="0.35">
      <c r="A8" s="82"/>
      <c r="B8" s="82"/>
      <c r="C8" s="82"/>
      <c r="D8" s="83"/>
      <c r="E8" s="82"/>
      <c r="F8" s="83"/>
      <c r="G8" s="82"/>
      <c r="H8" s="82"/>
      <c r="I8" s="82"/>
      <c r="J8" s="82"/>
      <c r="K8" s="11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6"/>
      <c r="IT8" s="76"/>
      <c r="IU8" s="76"/>
      <c r="IV8" s="76"/>
    </row>
    <row r="9" spans="1:256" ht="15" customHeight="1" x14ac:dyDescent="0.35">
      <c r="A9" s="81"/>
      <c r="B9" s="81"/>
      <c r="C9" s="81"/>
      <c r="D9" s="84"/>
      <c r="E9" s="81"/>
      <c r="F9" s="428" t="s">
        <v>5</v>
      </c>
      <c r="G9" s="428"/>
      <c r="H9" s="428"/>
      <c r="I9" s="281"/>
      <c r="J9" s="81"/>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c r="IR9" s="76"/>
      <c r="IS9" s="76"/>
      <c r="IT9" s="76"/>
      <c r="IU9" s="76"/>
      <c r="IV9" s="76"/>
    </row>
    <row r="10" spans="1:256" ht="15" customHeight="1" x14ac:dyDescent="0.35">
      <c r="A10" s="32" t="s">
        <v>182</v>
      </c>
      <c r="B10" s="32"/>
      <c r="C10" s="85"/>
      <c r="D10" s="86"/>
      <c r="E10" s="30" t="s">
        <v>11</v>
      </c>
      <c r="F10" s="30" t="s">
        <v>9</v>
      </c>
      <c r="G10" s="30" t="s">
        <v>10</v>
      </c>
      <c r="H10" s="30" t="s">
        <v>4</v>
      </c>
      <c r="I10" s="30" t="s">
        <v>13</v>
      </c>
      <c r="J10" s="30" t="s">
        <v>14</v>
      </c>
      <c r="K10" s="30" t="s">
        <v>15</v>
      </c>
    </row>
    <row r="11" spans="1:256" ht="15" customHeight="1" x14ac:dyDescent="0.35">
      <c r="A11" s="87" t="s">
        <v>283</v>
      </c>
      <c r="B11" s="87"/>
      <c r="C11" s="87"/>
      <c r="E11" s="88">
        <v>25.2</v>
      </c>
      <c r="F11" s="282"/>
      <c r="G11" s="341"/>
      <c r="H11" s="283">
        <v>1</v>
      </c>
      <c r="I11" s="235">
        <f>ROUND(((F11*(I9/12))/(H11))+(((G11))/(H11)),1)</f>
        <v>0</v>
      </c>
      <c r="J11" s="244">
        <f>(E11*F11)/(H11)</f>
        <v>0</v>
      </c>
      <c r="K11" s="236">
        <f>ROUND((E11*G11)/(H11),2)</f>
        <v>0</v>
      </c>
    </row>
    <row r="12" spans="1:256" ht="15" customHeight="1" x14ac:dyDescent="0.35">
      <c r="A12" s="87" t="s">
        <v>283</v>
      </c>
      <c r="B12" s="87"/>
      <c r="C12" s="87"/>
      <c r="E12" s="88">
        <v>25.2</v>
      </c>
      <c r="F12" s="284"/>
      <c r="G12" s="341"/>
      <c r="H12" s="283">
        <v>2</v>
      </c>
      <c r="I12" s="235">
        <f>ROUND(((F12*(I9/12))/(H12))+(((G12))/(H12)),1)</f>
        <v>0</v>
      </c>
      <c r="J12" s="244">
        <f>(E12*F12)/(H12)</f>
        <v>0</v>
      </c>
      <c r="K12" s="236">
        <f>ROUND((E12*G12)/(H12),2)</f>
        <v>0</v>
      </c>
    </row>
    <row r="13" spans="1:256" ht="15" customHeight="1" x14ac:dyDescent="0.35">
      <c r="A13" s="87" t="s">
        <v>283</v>
      </c>
      <c r="B13" s="87"/>
      <c r="C13" s="87"/>
      <c r="E13" s="88">
        <v>25.2</v>
      </c>
      <c r="F13" s="279"/>
      <c r="G13" s="341"/>
      <c r="H13" s="283">
        <v>3</v>
      </c>
      <c r="I13" s="235">
        <f>ROUND(((F13*(I9/12))/(H13))+(((G13))/(H13)),1)</f>
        <v>0</v>
      </c>
      <c r="J13" s="244">
        <f>(E13*F13)/(H13)</f>
        <v>0</v>
      </c>
      <c r="K13" s="236">
        <f>ROUND((E13*G13)/(H13),2)</f>
        <v>0</v>
      </c>
    </row>
    <row r="14" spans="1:256" ht="15" customHeight="1" x14ac:dyDescent="0.35">
      <c r="A14" s="87" t="s">
        <v>283</v>
      </c>
      <c r="B14" s="87"/>
      <c r="C14" s="87"/>
      <c r="E14" s="90">
        <v>25.2</v>
      </c>
      <c r="F14" s="285"/>
      <c r="G14" s="341"/>
      <c r="H14" s="283">
        <v>4</v>
      </c>
      <c r="I14" s="346">
        <f>ROUND(((F14*(I9/12))/(H14))+(((G14))/(H14)),1)</f>
        <v>0</v>
      </c>
      <c r="J14" s="245">
        <f>(E14*F14)/(H14)</f>
        <v>0</v>
      </c>
      <c r="K14" s="347">
        <f>ROUND((E14*G14)/(H14),2)</f>
        <v>0</v>
      </c>
    </row>
    <row r="15" spans="1:256" ht="15" customHeight="1" x14ac:dyDescent="0.35">
      <c r="A15" s="76"/>
      <c r="B15" s="76"/>
      <c r="C15" s="76"/>
      <c r="D15" s="91"/>
      <c r="E15" s="323" t="s">
        <v>100</v>
      </c>
      <c r="F15" s="351">
        <f>SUM(F11:F14)</f>
        <v>0</v>
      </c>
      <c r="G15" s="327" t="s">
        <v>101</v>
      </c>
      <c r="H15" s="334"/>
      <c r="I15" s="325">
        <f>SUM(I11:I14)</f>
        <v>0</v>
      </c>
      <c r="J15" s="248">
        <f>SUM(J11:J14)</f>
        <v>0</v>
      </c>
      <c r="K15" s="248">
        <f>SUM(K11:K14)</f>
        <v>0</v>
      </c>
    </row>
    <row r="16" spans="1:256" ht="15" customHeight="1" x14ac:dyDescent="0.35">
      <c r="A16" s="76"/>
      <c r="B16" s="81"/>
      <c r="C16" s="81"/>
      <c r="D16" s="91"/>
      <c r="E16" s="147"/>
      <c r="F16" s="342"/>
      <c r="G16" s="93"/>
      <c r="H16" s="84" t="s">
        <v>171</v>
      </c>
      <c r="I16" s="343"/>
      <c r="J16" s="94"/>
      <c r="K16" s="94"/>
    </row>
    <row r="17" spans="1:15" ht="15" customHeight="1" x14ac:dyDescent="0.35">
      <c r="A17" s="76"/>
      <c r="B17" s="81"/>
      <c r="C17" s="81"/>
      <c r="D17" s="76"/>
      <c r="F17" s="78"/>
      <c r="G17" s="81"/>
      <c r="H17" s="6"/>
      <c r="I17" s="96" t="s">
        <v>87</v>
      </c>
      <c r="J17" s="240">
        <f>IF(ROUND(ROUND(ROUND(ROUND(ROUND((J18/G18)*1.096,2)*1.005772,2)*'rate increase'!C2,2)*'rate increase'!C3,2)*'rate increase'!C6,2)&gt;C1,C1,(ROUND(ROUND(ROUND(ROUND(ROUND((J18/G18)*1.096,2)*1.005772,2)*'rate increase'!C2,2)*'rate increase'!C3,2)*'rate increase'!C6,2)))</f>
        <v>0</v>
      </c>
      <c r="L17" s="76"/>
      <c r="M17" s="76"/>
      <c r="N17" s="76"/>
    </row>
    <row r="18" spans="1:15" ht="15" customHeight="1" x14ac:dyDescent="0.35">
      <c r="A18" s="76"/>
      <c r="B18" s="81"/>
      <c r="C18" s="81"/>
      <c r="D18" s="76"/>
      <c r="F18" s="145" t="s">
        <v>88</v>
      </c>
      <c r="G18" s="348">
        <f>IF(F11+F12+F13+F14&lt;1,1,(F11+F12+F13+F14)*4)</f>
        <v>1</v>
      </c>
      <c r="H18" s="344"/>
      <c r="I18" s="345" t="s">
        <v>89</v>
      </c>
      <c r="J18" s="350">
        <f>ROUND(ROUND(ROUND(ROUND(ROUND(ROUND(IF(J15&gt;151.41,151.41,J15)*1.008,2)*1.105,2)*1.0018,2)*1.08,2)*1.03,3)*1.021,2)</f>
        <v>0</v>
      </c>
      <c r="K18" s="81"/>
      <c r="L18" s="76" t="s">
        <v>40</v>
      </c>
      <c r="M18" s="76"/>
      <c r="N18" s="76"/>
    </row>
    <row r="19" spans="1:15" ht="15" customHeight="1" x14ac:dyDescent="0.35">
      <c r="B19" s="78"/>
      <c r="C19" s="78"/>
      <c r="D19" s="102"/>
      <c r="F19" s="145" t="s">
        <v>90</v>
      </c>
      <c r="G19" s="349">
        <f>ROUND(I9*G18/12,0)</f>
        <v>0</v>
      </c>
      <c r="H19" s="38"/>
      <c r="J19" s="104" t="s">
        <v>91</v>
      </c>
      <c r="K19" s="270">
        <f>ROUND(G19*J17,2)</f>
        <v>0</v>
      </c>
      <c r="L19" s="76"/>
      <c r="M19" s="76"/>
      <c r="N19" s="76"/>
    </row>
    <row r="20" spans="1:15" ht="15" customHeight="1" x14ac:dyDescent="0.35">
      <c r="B20" s="78"/>
      <c r="C20" s="78"/>
      <c r="D20" s="102"/>
      <c r="F20" s="111" t="s">
        <v>92</v>
      </c>
      <c r="G20" s="349">
        <f>ROUND(G18*I9,0)</f>
        <v>0</v>
      </c>
      <c r="H20" s="38"/>
      <c r="J20" s="105" t="s">
        <v>24</v>
      </c>
      <c r="K20" s="270">
        <f>ROUND((J17*G20),2)</f>
        <v>0</v>
      </c>
      <c r="L20" s="76"/>
      <c r="M20" s="76"/>
      <c r="N20" s="76"/>
    </row>
    <row r="21" spans="1:15" ht="15" customHeight="1" x14ac:dyDescent="0.35">
      <c r="A21" s="115" t="s">
        <v>40</v>
      </c>
      <c r="B21" s="78"/>
      <c r="C21" s="78"/>
      <c r="L21" s="76"/>
      <c r="M21" s="76"/>
      <c r="N21" s="76"/>
    </row>
    <row r="22" spans="1:15" ht="27" customHeight="1" thickBot="1" x14ac:dyDescent="0.5">
      <c r="A22" s="426" t="s">
        <v>280</v>
      </c>
      <c r="B22" s="426"/>
      <c r="C22" s="426"/>
      <c r="D22" s="426"/>
      <c r="E22" s="426"/>
      <c r="F22" s="426"/>
      <c r="G22" s="426"/>
      <c r="H22" s="426"/>
      <c r="I22" s="426"/>
      <c r="J22" s="426"/>
      <c r="K22" s="426"/>
      <c r="L22" s="110"/>
      <c r="M22" s="110"/>
      <c r="N22" s="110"/>
      <c r="O22" s="111"/>
    </row>
    <row r="23" spans="1:15" ht="15" customHeight="1" thickTop="1" x14ac:dyDescent="0.35">
      <c r="A23" s="82"/>
      <c r="B23" s="82"/>
      <c r="C23" s="82"/>
      <c r="D23" s="83"/>
      <c r="E23" s="82"/>
      <c r="F23" s="83"/>
      <c r="G23" s="82"/>
      <c r="H23" s="82"/>
      <c r="I23" s="82"/>
      <c r="J23" s="82"/>
      <c r="K23" s="116"/>
    </row>
    <row r="24" spans="1:15" ht="15" customHeight="1" x14ac:dyDescent="0.35">
      <c r="A24" s="81"/>
      <c r="B24" s="81"/>
      <c r="C24" s="81"/>
      <c r="D24" s="84"/>
      <c r="E24" s="81"/>
      <c r="F24" s="428" t="s">
        <v>5</v>
      </c>
      <c r="G24" s="428"/>
      <c r="H24" s="428"/>
      <c r="I24" s="281"/>
      <c r="J24" s="443"/>
      <c r="K24" s="444"/>
    </row>
    <row r="25" spans="1:15" ht="15" customHeight="1" x14ac:dyDescent="0.35">
      <c r="A25" s="32" t="s">
        <v>182</v>
      </c>
      <c r="B25" s="301"/>
      <c r="C25" s="85"/>
      <c r="D25" s="86"/>
      <c r="E25" s="30" t="s">
        <v>11</v>
      </c>
      <c r="F25" s="30" t="s">
        <v>9</v>
      </c>
      <c r="G25" s="30" t="s">
        <v>10</v>
      </c>
      <c r="H25" s="30" t="s">
        <v>4</v>
      </c>
      <c r="I25" s="30" t="s">
        <v>13</v>
      </c>
      <c r="J25" s="30" t="s">
        <v>14</v>
      </c>
      <c r="K25" s="30" t="s">
        <v>15</v>
      </c>
    </row>
    <row r="26" spans="1:15" ht="15" customHeight="1" x14ac:dyDescent="0.35">
      <c r="A26" s="87" t="s">
        <v>283</v>
      </c>
      <c r="B26" s="87"/>
      <c r="C26" s="87"/>
      <c r="E26" s="88">
        <v>25.2</v>
      </c>
      <c r="F26" s="282"/>
      <c r="G26" s="341"/>
      <c r="H26" s="283">
        <v>1</v>
      </c>
      <c r="I26" s="235">
        <f>ROUND(((F26*(I24/12))/(H26))+(((G26))/(H26)),1)</f>
        <v>0</v>
      </c>
      <c r="J26" s="244">
        <f>(E26*F26)/(H26)</f>
        <v>0</v>
      </c>
      <c r="K26" s="236">
        <f>ROUND((E26*G26)/(H26),2)</f>
        <v>0</v>
      </c>
      <c r="L26" s="401"/>
    </row>
    <row r="27" spans="1:15" ht="15" customHeight="1" x14ac:dyDescent="0.35">
      <c r="A27" s="87" t="s">
        <v>283</v>
      </c>
      <c r="B27" s="87"/>
      <c r="C27" s="87"/>
      <c r="E27" s="88">
        <v>25.2</v>
      </c>
      <c r="F27" s="284"/>
      <c r="G27" s="341"/>
      <c r="H27" s="283">
        <v>2</v>
      </c>
      <c r="I27" s="235">
        <f>ROUND(((F27*(I24/12))/(H27))+(((G27))/(H27)),1)</f>
        <v>0</v>
      </c>
      <c r="J27" s="244">
        <f>(E27*F27)/(H27)</f>
        <v>0</v>
      </c>
      <c r="K27" s="236">
        <f>ROUND((E27*G27)/(H27),2)</f>
        <v>0</v>
      </c>
    </row>
    <row r="28" spans="1:15" ht="15" customHeight="1" x14ac:dyDescent="0.35">
      <c r="A28" s="87" t="s">
        <v>283</v>
      </c>
      <c r="B28" s="87"/>
      <c r="C28" s="87"/>
      <c r="E28" s="88">
        <v>25.2</v>
      </c>
      <c r="F28" s="279"/>
      <c r="G28" s="341"/>
      <c r="H28" s="283">
        <v>3</v>
      </c>
      <c r="I28" s="235">
        <f>ROUND(((F28*(I24/12))/(H28))+(((G28))/(H28)),1)</f>
        <v>0</v>
      </c>
      <c r="J28" s="244">
        <f>(E28*F28)/(H28)</f>
        <v>0</v>
      </c>
      <c r="K28" s="236">
        <f>ROUND((E28*G28)/(H28),2)</f>
        <v>0</v>
      </c>
    </row>
    <row r="29" spans="1:15" ht="15" customHeight="1" x14ac:dyDescent="0.35">
      <c r="A29" s="87" t="s">
        <v>283</v>
      </c>
      <c r="B29" s="87"/>
      <c r="C29" s="87"/>
      <c r="E29" s="90">
        <v>25.2</v>
      </c>
      <c r="F29" s="285"/>
      <c r="G29" s="341"/>
      <c r="H29" s="283">
        <v>4</v>
      </c>
      <c r="I29" s="346">
        <f>ROUND(((F29*(I24/12))/(H29))+(((G29))/(H29)),1)</f>
        <v>0</v>
      </c>
      <c r="J29" s="245">
        <f>(E29*F29)/(H29)</f>
        <v>0</v>
      </c>
      <c r="K29" s="347">
        <f>ROUND((E29*G29)/(H29),2)</f>
        <v>0</v>
      </c>
    </row>
    <row r="30" spans="1:15" ht="15" customHeight="1" x14ac:dyDescent="0.35">
      <c r="A30" s="76"/>
      <c r="B30" s="76"/>
      <c r="C30" s="76"/>
      <c r="D30" s="91"/>
      <c r="E30" s="323" t="s">
        <v>100</v>
      </c>
      <c r="F30" s="351">
        <f>SUM(F26:F29)</f>
        <v>0</v>
      </c>
      <c r="G30" s="327" t="s">
        <v>102</v>
      </c>
      <c r="H30" s="334"/>
      <c r="I30" s="325">
        <f>SUM(I26:I29)</f>
        <v>0</v>
      </c>
      <c r="J30" s="248">
        <f>SUM(J26:J29)</f>
        <v>0</v>
      </c>
      <c r="K30" s="248">
        <f>SUM(K26:K29)</f>
        <v>0</v>
      </c>
    </row>
    <row r="31" spans="1:15" ht="15" customHeight="1" x14ac:dyDescent="0.35">
      <c r="A31" s="76"/>
      <c r="B31" s="76"/>
      <c r="C31" s="76"/>
      <c r="D31" s="91"/>
      <c r="E31" s="92"/>
      <c r="F31" s="92"/>
      <c r="G31" s="93"/>
      <c r="H31" s="84" t="s">
        <v>171</v>
      </c>
      <c r="I31" s="343"/>
      <c r="K31" s="94"/>
    </row>
    <row r="32" spans="1:15" ht="15" customHeight="1" x14ac:dyDescent="0.35">
      <c r="A32" s="76"/>
      <c r="B32" s="76"/>
      <c r="C32" s="76"/>
      <c r="D32" s="76"/>
      <c r="F32" s="78"/>
      <c r="G32" s="81"/>
      <c r="H32" s="6"/>
      <c r="I32" s="96" t="s">
        <v>87</v>
      </c>
      <c r="J32" s="240">
        <f>IF(ROUND(ROUND(ROUND(ROUND(ROUND((J33/G33)*1.096,2)*1.005772,2)*'rate increase'!C2,2)*'rate increase'!C3,2)*'rate increase'!C6,2)&gt;C1,C1,(ROUND(ROUND(ROUND(ROUND(ROUND((J33/G33)*1.096,2)*1.005772,2)*'rate increase'!C2,2)*'rate increase'!C3,2)*'rate increase'!C6,2)))</f>
        <v>0</v>
      </c>
    </row>
    <row r="33" spans="1:11" ht="15" customHeight="1" x14ac:dyDescent="0.35">
      <c r="A33" s="76"/>
      <c r="B33" s="76"/>
      <c r="C33" s="76"/>
      <c r="D33" s="76"/>
      <c r="F33" s="145" t="s">
        <v>88</v>
      </c>
      <c r="G33" s="348">
        <f>IF(F26+F27+F28+F29&lt;1,1,(F26+F27+F28+F29)*4)</f>
        <v>1</v>
      </c>
      <c r="H33" s="344"/>
      <c r="I33" s="345" t="s">
        <v>89</v>
      </c>
      <c r="J33" s="352">
        <f>ROUND(ROUND(ROUND(ROUND(ROUND(ROUND(IF(J30&gt;252.001,252,J30)*1.008,2)*1.105,2)*1.0018,2)*1.08,2)*1.03,2)*1.021,2)</f>
        <v>0</v>
      </c>
      <c r="K33" s="81"/>
    </row>
    <row r="34" spans="1:11" ht="15" customHeight="1" x14ac:dyDescent="0.35">
      <c r="D34" s="102"/>
      <c r="F34" s="145" t="s">
        <v>90</v>
      </c>
      <c r="G34" s="349">
        <f>ROUND(I24*G33/12,0)</f>
        <v>0</v>
      </c>
      <c r="H34" s="38"/>
      <c r="J34" s="104" t="s">
        <v>91</v>
      </c>
      <c r="K34" s="270">
        <f>ROUND(G34*J32,2)</f>
        <v>0</v>
      </c>
    </row>
    <row r="35" spans="1:11" ht="15" customHeight="1" x14ac:dyDescent="0.35">
      <c r="D35" s="102"/>
      <c r="F35" s="111" t="s">
        <v>92</v>
      </c>
      <c r="G35" s="349">
        <f>ROUND(G33*I24,0)</f>
        <v>0</v>
      </c>
      <c r="H35" s="38"/>
      <c r="J35" s="105" t="s">
        <v>24</v>
      </c>
      <c r="K35" s="270">
        <f>ROUND((J32*G35),2)</f>
        <v>0</v>
      </c>
    </row>
    <row r="37" spans="1:11" ht="15" customHeight="1" x14ac:dyDescent="0.35">
      <c r="A37" s="1" t="str">
        <f>'Budget Plan '!A24</f>
        <v>Revised 7/1/2023</v>
      </c>
    </row>
    <row r="38" spans="1:11" ht="15" customHeight="1" x14ac:dyDescent="0.35">
      <c r="A38" s="4" t="s">
        <v>43</v>
      </c>
    </row>
    <row r="39" spans="1:11" ht="15" customHeight="1" x14ac:dyDescent="0.35">
      <c r="A39" s="4" t="s">
        <v>6</v>
      </c>
    </row>
    <row r="41" spans="1:11" ht="15" customHeight="1" x14ac:dyDescent="0.35">
      <c r="A41" s="115"/>
    </row>
  </sheetData>
  <sheetProtection algorithmName="SHA-512" hashValue="NiTC9rleGN6x0eUCkRjyA/88Q42JTcatKXcqzbfLMa7gNmLYSIdaObRPZF6DVwmJHEs2I+Y3vmtwv06ViQHz1g==" saltValue="JecYJwHdoTL2WpA+x3lUDg==" spinCount="100000" sheet="1" selectLockedCells="1"/>
  <mergeCells count="8">
    <mergeCell ref="F24:H24"/>
    <mergeCell ref="J24:K24"/>
    <mergeCell ref="A2:K2"/>
    <mergeCell ref="A3:K3"/>
    <mergeCell ref="A5:B5"/>
    <mergeCell ref="A7:K7"/>
    <mergeCell ref="F9:H9"/>
    <mergeCell ref="A22:K22"/>
  </mergeCells>
  <pageMargins left="0.7" right="0.7" top="0.75" bottom="0.75" header="0.3" footer="0.3"/>
  <pageSetup scale="7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AM110"/>
  <sheetViews>
    <sheetView showGridLines="0" workbookViewId="0">
      <selection activeCell="T50" sqref="T50"/>
    </sheetView>
  </sheetViews>
  <sheetFormatPr defaultColWidth="9.59765625" defaultRowHeight="15" customHeight="1" x14ac:dyDescent="0.35"/>
  <cols>
    <col min="1" max="1" width="20.59765625" style="379" customWidth="1"/>
    <col min="2" max="2" width="25.796875" style="372" customWidth="1"/>
    <col min="3" max="3" width="27.796875" style="371" customWidth="1"/>
    <col min="4" max="4" width="4.796875" style="371" customWidth="1"/>
    <col min="5" max="5" width="16.3984375" style="371" customWidth="1"/>
    <col min="6" max="6" width="10.59765625" style="371" customWidth="1"/>
    <col min="7" max="9" width="9.59765625" style="371"/>
    <col min="10" max="10" width="10.19921875" style="371" customWidth="1"/>
    <col min="11" max="11" width="9.59765625" style="371"/>
    <col min="12" max="12" width="11.796875" style="371" customWidth="1"/>
    <col min="13" max="21" width="9.59765625" style="371"/>
    <col min="22" max="22" width="10" style="371" customWidth="1"/>
    <col min="23" max="23" width="8.796875" style="371" customWidth="1"/>
    <col min="24" max="24" width="9.796875" style="371" customWidth="1"/>
    <col min="25" max="16384" width="9.59765625" style="371"/>
  </cols>
  <sheetData>
    <row r="1" spans="1:39" ht="30" customHeight="1" x14ac:dyDescent="0.45">
      <c r="A1" s="446" t="s">
        <v>151</v>
      </c>
      <c r="B1" s="446"/>
      <c r="C1" s="446"/>
      <c r="D1" s="446"/>
      <c r="E1" s="446"/>
      <c r="F1" s="446"/>
      <c r="G1" s="446"/>
      <c r="H1" s="446"/>
      <c r="I1" s="446"/>
      <c r="J1" s="446"/>
      <c r="K1" s="446"/>
      <c r="L1" s="446"/>
      <c r="M1" s="446"/>
      <c r="N1" s="446"/>
      <c r="O1" s="446"/>
      <c r="P1" s="446"/>
      <c r="Q1" s="446"/>
      <c r="R1" s="446"/>
      <c r="S1" s="446"/>
      <c r="T1" s="446"/>
    </row>
    <row r="2" spans="1:39" ht="15" customHeight="1" x14ac:dyDescent="0.35">
      <c r="A2" s="390" t="s">
        <v>131</v>
      </c>
      <c r="B2" s="393"/>
      <c r="C2" s="381" t="s">
        <v>199</v>
      </c>
      <c r="D2" s="381"/>
      <c r="E2" s="381"/>
      <c r="F2" s="381"/>
      <c r="G2" s="381"/>
      <c r="H2" s="381"/>
      <c r="I2" s="381"/>
      <c r="J2" s="381"/>
      <c r="K2" s="373"/>
      <c r="L2" s="376"/>
      <c r="M2" s="376"/>
      <c r="N2" s="376"/>
      <c r="O2" s="373"/>
    </row>
    <row r="3" spans="1:39" ht="15" customHeight="1" x14ac:dyDescent="0.35">
      <c r="C3" s="372"/>
      <c r="D3" s="372"/>
      <c r="E3" s="372"/>
      <c r="F3" s="372"/>
      <c r="G3" s="372"/>
      <c r="H3" s="372"/>
      <c r="I3" s="372"/>
      <c r="J3" s="372"/>
      <c r="K3" s="372"/>
      <c r="L3" s="372"/>
      <c r="M3" s="372"/>
      <c r="N3" s="372"/>
      <c r="V3" s="368"/>
      <c r="W3" s="368"/>
      <c r="X3" s="368"/>
    </row>
    <row r="4" spans="1:39" s="375" customFormat="1" ht="15" customHeight="1" x14ac:dyDescent="0.35">
      <c r="A4" s="391" t="s">
        <v>109</v>
      </c>
      <c r="B4" s="383" t="s">
        <v>141</v>
      </c>
      <c r="C4" s="373"/>
      <c r="D4" s="373"/>
      <c r="E4" s="373"/>
      <c r="F4" s="373"/>
      <c r="G4" s="373"/>
      <c r="H4" s="373"/>
      <c r="I4" s="373"/>
      <c r="J4" s="373"/>
      <c r="K4" s="373"/>
      <c r="L4" s="373"/>
      <c r="M4" s="373"/>
      <c r="N4" s="373"/>
      <c r="O4" s="373"/>
      <c r="P4" s="373"/>
      <c r="Q4" s="373"/>
      <c r="R4" s="373"/>
      <c r="S4" s="373"/>
      <c r="T4" s="373"/>
      <c r="U4" s="373"/>
      <c r="V4" s="369"/>
      <c r="W4" s="370"/>
      <c r="X4" s="374"/>
      <c r="Y4" s="373"/>
      <c r="Z4" s="373"/>
      <c r="AA4" s="373"/>
      <c r="AB4" s="373"/>
      <c r="AC4" s="373"/>
      <c r="AD4" s="373"/>
      <c r="AE4" s="373"/>
      <c r="AF4" s="373"/>
      <c r="AG4" s="373"/>
      <c r="AH4" s="373"/>
      <c r="AI4" s="373"/>
      <c r="AJ4" s="373"/>
      <c r="AK4" s="373"/>
      <c r="AL4" s="373"/>
      <c r="AM4" s="373"/>
    </row>
    <row r="5" spans="1:39" s="373" customFormat="1" ht="15" customHeight="1" x14ac:dyDescent="0.35">
      <c r="A5" s="387"/>
      <c r="B5" s="376"/>
      <c r="U5" s="371"/>
      <c r="V5" s="369"/>
      <c r="W5" s="370"/>
      <c r="X5" s="374"/>
    </row>
    <row r="6" spans="1:39" ht="15" customHeight="1" x14ac:dyDescent="0.35">
      <c r="A6" s="391" t="s">
        <v>106</v>
      </c>
      <c r="B6" s="383"/>
      <c r="C6" s="384" t="s">
        <v>147</v>
      </c>
      <c r="D6" s="384"/>
      <c r="E6" s="384"/>
      <c r="F6" s="384"/>
      <c r="G6" s="384"/>
      <c r="H6" s="384"/>
      <c r="I6" s="384"/>
      <c r="J6" s="384"/>
      <c r="K6" s="384"/>
      <c r="L6" s="384"/>
      <c r="M6" s="384"/>
      <c r="N6" s="384"/>
      <c r="O6" s="384"/>
      <c r="P6" s="384"/>
      <c r="Q6" s="384"/>
      <c r="R6" s="384"/>
      <c r="S6" s="384"/>
      <c r="T6" s="384"/>
      <c r="V6" s="369"/>
      <c r="W6" s="370"/>
      <c r="X6" s="374"/>
    </row>
    <row r="7" spans="1:39" ht="15" customHeight="1" x14ac:dyDescent="0.35">
      <c r="B7" s="372" t="s">
        <v>256</v>
      </c>
      <c r="C7" s="380" t="s">
        <v>135</v>
      </c>
      <c r="D7" s="380"/>
      <c r="E7" s="371" t="s">
        <v>200</v>
      </c>
      <c r="V7" s="369"/>
      <c r="W7" s="370"/>
      <c r="X7" s="374"/>
    </row>
    <row r="8" spans="1:39" ht="15" customHeight="1" x14ac:dyDescent="0.35">
      <c r="B8" s="372" t="s">
        <v>257</v>
      </c>
      <c r="C8" s="380" t="s">
        <v>136</v>
      </c>
      <c r="D8" s="380"/>
      <c r="E8" s="371" t="s">
        <v>201</v>
      </c>
      <c r="N8" s="373" t="s">
        <v>40</v>
      </c>
      <c r="O8" s="373"/>
      <c r="P8" s="373"/>
      <c r="Q8" s="373"/>
      <c r="R8" s="373"/>
      <c r="S8" s="373"/>
      <c r="T8" s="373"/>
      <c r="V8" s="369"/>
      <c r="W8" s="370"/>
      <c r="X8" s="374"/>
    </row>
    <row r="9" spans="1:39" ht="15" customHeight="1" x14ac:dyDescent="0.35">
      <c r="B9" s="372" t="s">
        <v>259</v>
      </c>
      <c r="C9" s="380" t="s">
        <v>105</v>
      </c>
      <c r="D9" s="380"/>
      <c r="E9" s="371" t="s">
        <v>260</v>
      </c>
      <c r="N9" s="373"/>
      <c r="O9" s="373"/>
      <c r="P9" s="373"/>
      <c r="Q9" s="373"/>
      <c r="R9" s="373"/>
      <c r="S9" s="373"/>
      <c r="T9" s="373"/>
      <c r="V9" s="369"/>
      <c r="W9" s="370"/>
      <c r="X9" s="374"/>
    </row>
    <row r="10" spans="1:39" ht="15" customHeight="1" x14ac:dyDescent="0.35">
      <c r="B10" s="372" t="s">
        <v>258</v>
      </c>
      <c r="C10" s="380" t="s">
        <v>137</v>
      </c>
      <c r="D10" s="380"/>
      <c r="E10" s="371" t="s">
        <v>138</v>
      </c>
      <c r="N10" s="373" t="s">
        <v>40</v>
      </c>
      <c r="O10" s="373"/>
      <c r="P10" s="373"/>
      <c r="Q10" s="373"/>
      <c r="R10" s="373"/>
      <c r="S10" s="373"/>
      <c r="T10" s="373"/>
      <c r="V10" s="369"/>
      <c r="W10" s="370"/>
      <c r="X10" s="374"/>
    </row>
    <row r="11" spans="1:39" ht="15" customHeight="1" x14ac:dyDescent="0.35">
      <c r="C11" s="371" t="s">
        <v>139</v>
      </c>
      <c r="V11" s="369"/>
      <c r="W11" s="370"/>
      <c r="X11" s="374"/>
    </row>
    <row r="12" spans="1:39" ht="15" customHeight="1" x14ac:dyDescent="0.35">
      <c r="V12" s="369"/>
      <c r="W12" s="370"/>
      <c r="X12" s="374"/>
    </row>
    <row r="13" spans="1:39" ht="15" customHeight="1" x14ac:dyDescent="0.35">
      <c r="B13" s="372" t="s">
        <v>202</v>
      </c>
      <c r="C13" s="371" t="s">
        <v>7</v>
      </c>
      <c r="E13" s="371" t="s">
        <v>120</v>
      </c>
      <c r="V13" s="369"/>
      <c r="W13" s="370"/>
      <c r="X13" s="374"/>
    </row>
    <row r="14" spans="1:39" ht="15" customHeight="1" x14ac:dyDescent="0.35">
      <c r="E14" s="371" t="s">
        <v>149</v>
      </c>
      <c r="Q14" s="371" t="s">
        <v>40</v>
      </c>
      <c r="V14" s="369"/>
      <c r="W14" s="370"/>
      <c r="X14" s="374"/>
    </row>
    <row r="15" spans="1:39" ht="15" customHeight="1" x14ac:dyDescent="0.35">
      <c r="E15" s="371" t="s">
        <v>148</v>
      </c>
      <c r="Q15" s="371" t="s">
        <v>40</v>
      </c>
      <c r="V15" s="369"/>
      <c r="W15" s="370"/>
      <c r="X15" s="374"/>
    </row>
    <row r="16" spans="1:39" ht="15" customHeight="1" x14ac:dyDescent="0.35">
      <c r="V16" s="369"/>
      <c r="W16" s="370"/>
      <c r="X16" s="374"/>
    </row>
    <row r="17" spans="1:24" ht="15" customHeight="1" x14ac:dyDescent="0.35">
      <c r="B17" s="372" t="s">
        <v>40</v>
      </c>
      <c r="C17" s="385" t="s">
        <v>127</v>
      </c>
      <c r="D17" s="372"/>
      <c r="E17" s="385" t="s">
        <v>122</v>
      </c>
      <c r="Q17" s="371" t="s">
        <v>40</v>
      </c>
      <c r="V17" s="369"/>
      <c r="W17" s="370"/>
      <c r="X17" s="374"/>
    </row>
    <row r="18" spans="1:24" ht="15" customHeight="1" x14ac:dyDescent="0.35">
      <c r="B18" s="372" t="s">
        <v>262</v>
      </c>
      <c r="C18" s="382" t="s">
        <v>126</v>
      </c>
      <c r="D18" s="382" t="s">
        <v>128</v>
      </c>
      <c r="E18" s="382" t="s">
        <v>123</v>
      </c>
      <c r="V18" s="369"/>
      <c r="W18" s="370"/>
      <c r="X18" s="374"/>
    </row>
    <row r="19" spans="1:24" ht="15" customHeight="1" x14ac:dyDescent="0.35">
      <c r="B19" s="372" t="s">
        <v>263</v>
      </c>
      <c r="C19" s="382" t="s">
        <v>129</v>
      </c>
      <c r="D19" s="382" t="s">
        <v>128</v>
      </c>
      <c r="E19" s="382" t="s">
        <v>124</v>
      </c>
      <c r="V19" s="369"/>
      <c r="W19" s="370"/>
      <c r="X19" s="374"/>
    </row>
    <row r="20" spans="1:24" s="378" customFormat="1" ht="15" customHeight="1" x14ac:dyDescent="0.35">
      <c r="A20" s="392"/>
      <c r="B20" s="377" t="s">
        <v>264</v>
      </c>
      <c r="C20" s="386" t="s">
        <v>130</v>
      </c>
      <c r="D20" s="386" t="s">
        <v>128</v>
      </c>
      <c r="E20" s="386" t="s">
        <v>125</v>
      </c>
      <c r="V20" s="369"/>
      <c r="W20" s="370"/>
      <c r="X20" s="374"/>
    </row>
    <row r="21" spans="1:24" ht="15" customHeight="1" x14ac:dyDescent="0.35">
      <c r="C21" s="372"/>
      <c r="D21" s="372" t="s">
        <v>40</v>
      </c>
      <c r="E21" s="372"/>
      <c r="V21" s="369"/>
      <c r="W21" s="370"/>
      <c r="X21" s="374"/>
    </row>
    <row r="22" spans="1:24" ht="15" customHeight="1" x14ac:dyDescent="0.35">
      <c r="B22" s="372" t="s">
        <v>261</v>
      </c>
      <c r="C22" s="380" t="s">
        <v>121</v>
      </c>
      <c r="E22" s="371" t="s">
        <v>146</v>
      </c>
      <c r="V22" s="369"/>
      <c r="W22" s="370"/>
      <c r="X22" s="374"/>
    </row>
    <row r="23" spans="1:24" ht="15" customHeight="1" x14ac:dyDescent="0.35">
      <c r="E23" s="371" t="s">
        <v>203</v>
      </c>
      <c r="V23" s="369"/>
      <c r="W23" s="370"/>
      <c r="X23" s="374"/>
    </row>
    <row r="24" spans="1:24" ht="15" customHeight="1" x14ac:dyDescent="0.35">
      <c r="V24" s="369"/>
      <c r="W24" s="370"/>
      <c r="X24" s="374"/>
    </row>
    <row r="25" spans="1:24" ht="15" customHeight="1" x14ac:dyDescent="0.35">
      <c r="A25" s="391" t="s">
        <v>110</v>
      </c>
      <c r="B25" s="383"/>
      <c r="C25" s="384" t="s">
        <v>145</v>
      </c>
      <c r="D25" s="384"/>
      <c r="E25" s="384"/>
      <c r="F25" s="384"/>
      <c r="G25" s="384"/>
      <c r="H25" s="384"/>
      <c r="I25" s="384"/>
      <c r="J25" s="384"/>
      <c r="K25" s="384"/>
      <c r="L25" s="384"/>
      <c r="M25" s="384"/>
      <c r="N25" s="384"/>
      <c r="O25" s="384"/>
      <c r="P25" s="384"/>
      <c r="Q25" s="384"/>
      <c r="R25" s="384"/>
      <c r="S25" s="384"/>
      <c r="T25" s="384"/>
      <c r="V25" s="369"/>
      <c r="W25" s="370"/>
      <c r="X25" s="374"/>
    </row>
    <row r="26" spans="1:24" ht="15" customHeight="1" x14ac:dyDescent="0.35">
      <c r="B26" s="372" t="s">
        <v>206</v>
      </c>
      <c r="C26" s="380" t="s">
        <v>107</v>
      </c>
      <c r="E26" s="371" t="s">
        <v>204</v>
      </c>
    </row>
    <row r="27" spans="1:24" ht="15" customHeight="1" x14ac:dyDescent="0.35">
      <c r="E27" s="371" t="s">
        <v>205</v>
      </c>
    </row>
    <row r="28" spans="1:24" ht="15" customHeight="1" x14ac:dyDescent="0.35">
      <c r="E28" s="371" t="s">
        <v>207</v>
      </c>
    </row>
    <row r="29" spans="1:24" ht="15" customHeight="1" x14ac:dyDescent="0.35">
      <c r="E29" s="371" t="s">
        <v>233</v>
      </c>
    </row>
    <row r="31" spans="1:24" ht="15" customHeight="1" x14ac:dyDescent="0.35">
      <c r="B31" s="372" t="s">
        <v>208</v>
      </c>
      <c r="C31" s="380" t="s">
        <v>132</v>
      </c>
      <c r="E31" s="371" t="s">
        <v>209</v>
      </c>
    </row>
    <row r="32" spans="1:24" ht="15" customHeight="1" x14ac:dyDescent="0.35">
      <c r="E32" s="371" t="s">
        <v>210</v>
      </c>
    </row>
    <row r="34" spans="2:18" ht="15" customHeight="1" x14ac:dyDescent="0.35">
      <c r="B34" s="372" t="s">
        <v>212</v>
      </c>
      <c r="C34" s="380" t="s">
        <v>133</v>
      </c>
      <c r="E34" s="371" t="s">
        <v>211</v>
      </c>
    </row>
    <row r="36" spans="2:18" ht="15" customHeight="1" x14ac:dyDescent="0.35">
      <c r="B36" s="372" t="s">
        <v>213</v>
      </c>
      <c r="C36" s="380" t="s">
        <v>144</v>
      </c>
      <c r="E36" s="371" t="s">
        <v>142</v>
      </c>
    </row>
    <row r="37" spans="2:18" ht="15" customHeight="1" x14ac:dyDescent="0.35">
      <c r="E37" s="371" t="s">
        <v>134</v>
      </c>
    </row>
    <row r="39" spans="2:18" ht="15" customHeight="1" x14ac:dyDescent="0.35">
      <c r="B39" s="372" t="s">
        <v>265</v>
      </c>
      <c r="C39" s="380" t="s">
        <v>108</v>
      </c>
      <c r="E39" s="371" t="s">
        <v>143</v>
      </c>
    </row>
    <row r="40" spans="2:18" ht="15" customHeight="1" x14ac:dyDescent="0.35">
      <c r="C40" s="373"/>
      <c r="E40" s="371" t="s">
        <v>210</v>
      </c>
    </row>
    <row r="41" spans="2:18" ht="15" customHeight="1" x14ac:dyDescent="0.35">
      <c r="R41" s="371" t="s">
        <v>40</v>
      </c>
    </row>
    <row r="42" spans="2:18" ht="15" customHeight="1" x14ac:dyDescent="0.35">
      <c r="B42" s="372" t="s">
        <v>248</v>
      </c>
      <c r="C42" s="380" t="s">
        <v>153</v>
      </c>
      <c r="E42" s="371" t="s">
        <v>249</v>
      </c>
    </row>
    <row r="43" spans="2:18" ht="15" customHeight="1" x14ac:dyDescent="0.35">
      <c r="E43" s="371" t="s">
        <v>250</v>
      </c>
    </row>
    <row r="44" spans="2:18" ht="15" customHeight="1" x14ac:dyDescent="0.35">
      <c r="E44" s="371" t="s">
        <v>251</v>
      </c>
    </row>
    <row r="45" spans="2:18" ht="15" customHeight="1" x14ac:dyDescent="0.35">
      <c r="E45" s="371" t="s">
        <v>252</v>
      </c>
    </row>
    <row r="46" spans="2:18" ht="15" customHeight="1" x14ac:dyDescent="0.35">
      <c r="E46" s="371" t="s">
        <v>253</v>
      </c>
    </row>
    <row r="47" spans="2:18" ht="15" customHeight="1" x14ac:dyDescent="0.35">
      <c r="E47" s="371" t="s">
        <v>254</v>
      </c>
    </row>
    <row r="48" spans="2:18" ht="15" customHeight="1" x14ac:dyDescent="0.35">
      <c r="E48" s="371" t="s">
        <v>255</v>
      </c>
    </row>
    <row r="50" spans="1:20" ht="15" customHeight="1" x14ac:dyDescent="0.35">
      <c r="B50" s="389" t="s">
        <v>230</v>
      </c>
      <c r="C50" s="388"/>
      <c r="D50" s="388"/>
      <c r="E50" s="388"/>
      <c r="F50" s="388"/>
      <c r="G50" s="388"/>
      <c r="H50" s="388"/>
      <c r="I50" s="388"/>
      <c r="J50" s="388"/>
      <c r="K50" s="388"/>
      <c r="L50" s="388"/>
      <c r="M50" s="373"/>
      <c r="N50" s="373"/>
      <c r="O50" s="373"/>
      <c r="P50" s="373"/>
      <c r="Q50" s="373"/>
      <c r="R50" s="373"/>
      <c r="S50" s="373"/>
      <c r="T50" s="373"/>
    </row>
    <row r="51" spans="1:20" ht="15" customHeight="1" x14ac:dyDescent="0.35">
      <c r="A51" s="379" t="s">
        <v>40</v>
      </c>
      <c r="B51" s="389" t="s">
        <v>214</v>
      </c>
      <c r="C51" s="388"/>
      <c r="D51" s="388"/>
      <c r="E51" s="388"/>
      <c r="F51" s="388"/>
      <c r="G51" s="388"/>
      <c r="H51" s="388"/>
      <c r="I51" s="388"/>
      <c r="J51" s="388"/>
      <c r="K51" s="388"/>
      <c r="L51" s="388"/>
      <c r="M51" s="373" t="s">
        <v>40</v>
      </c>
      <c r="N51" s="373"/>
      <c r="O51" s="373"/>
      <c r="P51" s="373"/>
      <c r="Q51" s="373"/>
      <c r="R51" s="373"/>
      <c r="S51" s="373"/>
      <c r="T51" s="373"/>
    </row>
    <row r="52" spans="1:20" ht="15" customHeight="1" x14ac:dyDescent="0.35">
      <c r="B52" s="389" t="s">
        <v>215</v>
      </c>
      <c r="C52" s="388"/>
      <c r="D52" s="388"/>
      <c r="E52" s="388"/>
      <c r="F52" s="388"/>
      <c r="G52" s="388"/>
      <c r="H52" s="388"/>
      <c r="I52" s="388"/>
      <c r="J52" s="388"/>
      <c r="K52" s="388"/>
      <c r="L52" s="388"/>
      <c r="M52" s="373"/>
      <c r="N52" s="373"/>
      <c r="O52" s="373"/>
      <c r="P52" s="373"/>
      <c r="Q52" s="373"/>
      <c r="R52" s="373"/>
      <c r="S52" s="373"/>
      <c r="T52" s="373"/>
    </row>
    <row r="53" spans="1:20" ht="15" customHeight="1" x14ac:dyDescent="0.35">
      <c r="B53" s="394"/>
      <c r="C53" s="388"/>
      <c r="D53" s="388"/>
      <c r="E53" s="388"/>
      <c r="F53" s="388"/>
      <c r="G53" s="388"/>
      <c r="H53" s="388"/>
      <c r="I53" s="388"/>
      <c r="J53" s="388"/>
      <c r="K53" s="388"/>
      <c r="L53" s="388"/>
      <c r="M53" s="373"/>
      <c r="N53" s="373"/>
      <c r="O53" s="373"/>
      <c r="P53" s="373"/>
      <c r="Q53" s="373"/>
      <c r="R53" s="373"/>
      <c r="S53" s="373"/>
      <c r="T53" s="373"/>
    </row>
    <row r="54" spans="1:20" ht="15" customHeight="1" x14ac:dyDescent="0.35">
      <c r="A54" s="391" t="s">
        <v>113</v>
      </c>
      <c r="B54" s="383"/>
      <c r="C54" s="384" t="s">
        <v>150</v>
      </c>
      <c r="D54" s="384"/>
      <c r="E54" s="384"/>
      <c r="F54" s="384"/>
      <c r="G54" s="384"/>
      <c r="H54" s="384"/>
      <c r="I54" s="384"/>
      <c r="J54" s="384"/>
      <c r="K54" s="384"/>
      <c r="L54" s="384"/>
      <c r="M54" s="384"/>
      <c r="N54" s="384"/>
      <c r="O54" s="384"/>
      <c r="P54" s="384"/>
      <c r="Q54" s="384"/>
      <c r="R54" s="384"/>
      <c r="S54" s="384"/>
      <c r="T54" s="384"/>
    </row>
    <row r="55" spans="1:20" ht="15" customHeight="1" x14ac:dyDescent="0.35">
      <c r="B55" s="372" t="s">
        <v>284</v>
      </c>
      <c r="C55" s="380" t="s">
        <v>114</v>
      </c>
      <c r="D55" s="373"/>
      <c r="E55" s="371" t="s">
        <v>217</v>
      </c>
    </row>
    <row r="56" spans="1:20" ht="15" customHeight="1" x14ac:dyDescent="0.35">
      <c r="E56" s="371" t="s">
        <v>218</v>
      </c>
    </row>
    <row r="58" spans="1:20" ht="15" customHeight="1" x14ac:dyDescent="0.35">
      <c r="B58" s="372" t="s">
        <v>285</v>
      </c>
      <c r="C58" s="380" t="s">
        <v>108</v>
      </c>
      <c r="E58" s="371" t="s">
        <v>219</v>
      </c>
    </row>
    <row r="60" spans="1:20" ht="15" customHeight="1" x14ac:dyDescent="0.35">
      <c r="B60" s="372" t="s">
        <v>286</v>
      </c>
      <c r="C60" s="380" t="s">
        <v>115</v>
      </c>
      <c r="E60" s="371" t="s">
        <v>116</v>
      </c>
    </row>
    <row r="61" spans="1:20" ht="15" customHeight="1" x14ac:dyDescent="0.35">
      <c r="E61" s="371" t="s">
        <v>220</v>
      </c>
    </row>
    <row r="63" spans="1:20" ht="65.45" customHeight="1" x14ac:dyDescent="0.35">
      <c r="B63" s="447" t="s">
        <v>234</v>
      </c>
      <c r="C63" s="447"/>
      <c r="D63" s="447"/>
      <c r="E63" s="447"/>
      <c r="F63" s="447"/>
      <c r="G63" s="447"/>
      <c r="H63" s="447"/>
      <c r="I63" s="447"/>
      <c r="J63" s="447"/>
      <c r="K63" s="447"/>
      <c r="L63" s="447"/>
      <c r="M63" s="447"/>
      <c r="N63" s="447"/>
      <c r="O63" s="447"/>
      <c r="P63" s="447"/>
      <c r="Q63" s="447"/>
      <c r="R63" s="447"/>
      <c r="S63" s="447"/>
      <c r="T63" s="447"/>
    </row>
    <row r="66" spans="1:20" ht="15" customHeight="1" x14ac:dyDescent="0.35">
      <c r="A66" s="391" t="s">
        <v>111</v>
      </c>
      <c r="B66" s="383"/>
      <c r="C66" s="384" t="s">
        <v>275</v>
      </c>
      <c r="D66" s="384"/>
      <c r="E66" s="384"/>
      <c r="F66" s="384"/>
      <c r="G66" s="384"/>
      <c r="H66" s="384"/>
      <c r="I66" s="384"/>
      <c r="J66" s="384"/>
      <c r="K66" s="384"/>
      <c r="L66" s="384"/>
      <c r="M66" s="384"/>
      <c r="N66" s="384"/>
      <c r="O66" s="384"/>
      <c r="P66" s="384"/>
      <c r="Q66" s="384"/>
      <c r="R66" s="384"/>
      <c r="S66" s="384"/>
      <c r="T66" s="384"/>
    </row>
    <row r="67" spans="1:20" ht="15" customHeight="1" x14ac:dyDescent="0.35">
      <c r="B67" s="372" t="s">
        <v>266</v>
      </c>
      <c r="C67" s="380" t="s">
        <v>112</v>
      </c>
      <c r="D67" s="373"/>
      <c r="E67" s="371" t="s">
        <v>216</v>
      </c>
    </row>
    <row r="69" spans="1:20" ht="15" customHeight="1" x14ac:dyDescent="0.35">
      <c r="B69" s="372" t="s">
        <v>268</v>
      </c>
      <c r="C69" s="380" t="s">
        <v>153</v>
      </c>
      <c r="D69" s="373"/>
      <c r="E69" s="371" t="s">
        <v>267</v>
      </c>
    </row>
    <row r="70" spans="1:20" ht="15" customHeight="1" x14ac:dyDescent="0.35">
      <c r="C70" s="373"/>
      <c r="D70" s="373"/>
      <c r="E70" s="371" t="s">
        <v>210</v>
      </c>
    </row>
    <row r="72" spans="1:20" ht="15" customHeight="1" x14ac:dyDescent="0.35">
      <c r="B72" s="372" t="s">
        <v>269</v>
      </c>
      <c r="C72" s="380" t="s">
        <v>108</v>
      </c>
      <c r="E72" s="371" t="s">
        <v>210</v>
      </c>
    </row>
    <row r="74" spans="1:20" ht="15" customHeight="1" x14ac:dyDescent="0.35">
      <c r="A74" s="397" t="s">
        <v>155</v>
      </c>
      <c r="B74" s="383"/>
      <c r="C74" s="384" t="s">
        <v>119</v>
      </c>
      <c r="D74" s="384"/>
      <c r="E74" s="384"/>
      <c r="F74" s="384"/>
      <c r="G74" s="384"/>
      <c r="H74" s="384"/>
      <c r="I74" s="384"/>
      <c r="J74" s="384"/>
      <c r="K74" s="384"/>
      <c r="L74" s="384"/>
      <c r="M74" s="384"/>
      <c r="N74" s="384"/>
      <c r="O74" s="384"/>
      <c r="P74" s="384"/>
      <c r="Q74" s="384"/>
      <c r="R74" s="384"/>
      <c r="S74" s="384"/>
      <c r="T74" s="384"/>
    </row>
    <row r="75" spans="1:20" ht="15" customHeight="1" x14ac:dyDescent="0.35">
      <c r="A75" s="398"/>
    </row>
    <row r="76" spans="1:20" ht="15" customHeight="1" x14ac:dyDescent="0.35">
      <c r="A76" s="398"/>
      <c r="B76" s="372" t="s">
        <v>270</v>
      </c>
      <c r="C76" s="380" t="s">
        <v>66</v>
      </c>
      <c r="E76" s="371" t="s">
        <v>221</v>
      </c>
    </row>
    <row r="77" spans="1:20" ht="15" customHeight="1" x14ac:dyDescent="0.35">
      <c r="A77" s="398"/>
      <c r="E77" s="371" t="s">
        <v>222</v>
      </c>
    </row>
    <row r="78" spans="1:20" ht="15" customHeight="1" x14ac:dyDescent="0.35">
      <c r="A78" s="398"/>
    </row>
    <row r="79" spans="1:20" ht="15" customHeight="1" x14ac:dyDescent="0.35">
      <c r="A79" s="397" t="s">
        <v>223</v>
      </c>
      <c r="B79" s="383"/>
      <c r="C79" s="384" t="s">
        <v>278</v>
      </c>
      <c r="D79" s="384"/>
      <c r="E79" s="384"/>
      <c r="F79" s="384"/>
      <c r="G79" s="384"/>
      <c r="H79" s="384"/>
      <c r="I79" s="384"/>
      <c r="J79" s="384"/>
      <c r="K79" s="384"/>
      <c r="L79" s="384"/>
      <c r="M79" s="384"/>
      <c r="N79" s="384"/>
      <c r="O79" s="384"/>
      <c r="P79" s="384"/>
      <c r="Q79" s="384"/>
      <c r="R79" s="384"/>
      <c r="S79" s="384"/>
      <c r="T79" s="384"/>
    </row>
    <row r="80" spans="1:20" ht="15" customHeight="1" x14ac:dyDescent="0.35">
      <c r="A80" s="398"/>
      <c r="B80" s="372" t="s">
        <v>271</v>
      </c>
      <c r="C80" s="380" t="s">
        <v>5</v>
      </c>
      <c r="D80" s="373"/>
      <c r="E80" s="371" t="s">
        <v>231</v>
      </c>
    </row>
    <row r="81" spans="1:20" ht="15" customHeight="1" x14ac:dyDescent="0.35">
      <c r="A81" s="398"/>
      <c r="C81" s="373"/>
      <c r="D81" s="373"/>
    </row>
    <row r="82" spans="1:20" ht="15" customHeight="1" x14ac:dyDescent="0.35">
      <c r="A82" s="398"/>
      <c r="B82" s="372" t="s">
        <v>272</v>
      </c>
      <c r="C82" s="380" t="s">
        <v>114</v>
      </c>
      <c r="D82" s="373"/>
      <c r="E82" s="371" t="s">
        <v>288</v>
      </c>
    </row>
    <row r="83" spans="1:20" ht="15" customHeight="1" x14ac:dyDescent="0.35">
      <c r="A83" s="398"/>
      <c r="C83" s="373"/>
      <c r="D83" s="373"/>
    </row>
    <row r="84" spans="1:20" ht="15" customHeight="1" x14ac:dyDescent="0.35">
      <c r="A84" s="398"/>
      <c r="B84" s="372" t="s">
        <v>287</v>
      </c>
      <c r="C84" s="380" t="s">
        <v>108</v>
      </c>
      <c r="E84" s="371" t="s">
        <v>210</v>
      </c>
    </row>
    <row r="85" spans="1:20" s="373" customFormat="1" ht="15" customHeight="1" x14ac:dyDescent="0.35">
      <c r="A85" s="399"/>
      <c r="B85" s="376"/>
    </row>
    <row r="86" spans="1:20" ht="15" customHeight="1" x14ac:dyDescent="0.35">
      <c r="A86" s="397" t="s">
        <v>224</v>
      </c>
      <c r="B86" s="383"/>
      <c r="C86" s="384" t="s">
        <v>279</v>
      </c>
      <c r="D86" s="384"/>
      <c r="E86" s="384"/>
      <c r="F86" s="384"/>
      <c r="G86" s="384"/>
      <c r="H86" s="384"/>
      <c r="I86" s="384"/>
      <c r="J86" s="384"/>
      <c r="K86" s="384"/>
      <c r="L86" s="384"/>
      <c r="M86" s="384"/>
      <c r="N86" s="384"/>
      <c r="O86" s="384"/>
      <c r="P86" s="384"/>
      <c r="Q86" s="384"/>
      <c r="R86" s="384"/>
      <c r="S86" s="384"/>
      <c r="T86" s="384"/>
    </row>
    <row r="87" spans="1:20" s="373" customFormat="1" ht="15" customHeight="1" x14ac:dyDescent="0.35">
      <c r="A87" s="387"/>
      <c r="B87" s="376"/>
    </row>
    <row r="88" spans="1:20" ht="15" customHeight="1" x14ac:dyDescent="0.35">
      <c r="B88" s="372" t="s">
        <v>271</v>
      </c>
      <c r="C88" s="380" t="s">
        <v>5</v>
      </c>
      <c r="D88" s="373"/>
      <c r="E88" s="371" t="s">
        <v>226</v>
      </c>
    </row>
    <row r="89" spans="1:20" ht="15" customHeight="1" x14ac:dyDescent="0.35">
      <c r="C89" s="373"/>
      <c r="D89" s="373"/>
    </row>
    <row r="90" spans="1:20" ht="15" customHeight="1" x14ac:dyDescent="0.35">
      <c r="B90" s="372" t="s">
        <v>273</v>
      </c>
      <c r="C90" s="380" t="s">
        <v>114</v>
      </c>
      <c r="D90" s="373"/>
      <c r="E90" s="371" t="s">
        <v>288</v>
      </c>
    </row>
    <row r="91" spans="1:20" ht="15" customHeight="1" x14ac:dyDescent="0.35">
      <c r="C91" s="373"/>
      <c r="D91" s="373"/>
    </row>
    <row r="92" spans="1:20" ht="15" customHeight="1" x14ac:dyDescent="0.35">
      <c r="B92" s="372" t="s">
        <v>287</v>
      </c>
      <c r="C92" s="380" t="s">
        <v>108</v>
      </c>
      <c r="E92" s="371" t="s">
        <v>210</v>
      </c>
    </row>
    <row r="93" spans="1:20" ht="15" customHeight="1" x14ac:dyDescent="0.35">
      <c r="C93" s="373"/>
      <c r="D93" s="373"/>
    </row>
    <row r="94" spans="1:20" ht="15" customHeight="1" x14ac:dyDescent="0.35">
      <c r="A94" s="391" t="s">
        <v>164</v>
      </c>
      <c r="B94" s="383"/>
      <c r="C94" s="384" t="s">
        <v>274</v>
      </c>
      <c r="D94" s="384"/>
      <c r="E94" s="384"/>
      <c r="F94" s="384"/>
      <c r="G94" s="384"/>
      <c r="H94" s="384"/>
      <c r="I94" s="384"/>
      <c r="J94" s="384"/>
      <c r="K94" s="384"/>
      <c r="L94" s="384"/>
      <c r="M94" s="384"/>
      <c r="N94" s="384"/>
      <c r="O94" s="384"/>
      <c r="P94" s="384"/>
      <c r="Q94" s="384"/>
      <c r="R94" s="384"/>
      <c r="S94" s="384"/>
      <c r="T94" s="384"/>
    </row>
    <row r="95" spans="1:20" ht="15" customHeight="1" x14ac:dyDescent="0.35">
      <c r="C95" s="371" t="s">
        <v>225</v>
      </c>
    </row>
    <row r="96" spans="1:20" ht="15" customHeight="1" x14ac:dyDescent="0.35">
      <c r="C96" s="371" t="s">
        <v>154</v>
      </c>
    </row>
    <row r="97" spans="1:20" ht="15" customHeight="1" x14ac:dyDescent="0.35">
      <c r="A97" s="379" t="s">
        <v>40</v>
      </c>
      <c r="C97" s="371" t="s">
        <v>40</v>
      </c>
      <c r="N97" s="371" t="s">
        <v>40</v>
      </c>
    </row>
    <row r="98" spans="1:20" ht="15" customHeight="1" x14ac:dyDescent="0.35">
      <c r="C98" s="395" t="s">
        <v>117</v>
      </c>
      <c r="D98" s="373"/>
    </row>
    <row r="99" spans="1:20" ht="15" customHeight="1" x14ac:dyDescent="0.35">
      <c r="B99" s="372" t="s">
        <v>289</v>
      </c>
      <c r="C99" s="380" t="s">
        <v>5</v>
      </c>
      <c r="D99" s="373"/>
      <c r="E99" s="371" t="s">
        <v>152</v>
      </c>
    </row>
    <row r="101" spans="1:20" ht="15" customHeight="1" x14ac:dyDescent="0.35">
      <c r="B101" s="372" t="s">
        <v>227</v>
      </c>
      <c r="C101" s="380" t="s">
        <v>114</v>
      </c>
      <c r="D101" s="373"/>
      <c r="E101" s="371" t="s">
        <v>140</v>
      </c>
    </row>
    <row r="103" spans="1:20" ht="15" customHeight="1" x14ac:dyDescent="0.35">
      <c r="C103" s="395" t="s">
        <v>118</v>
      </c>
      <c r="D103" s="373"/>
    </row>
    <row r="104" spans="1:20" ht="15" customHeight="1" x14ac:dyDescent="0.35">
      <c r="B104" s="372" t="s">
        <v>228</v>
      </c>
      <c r="C104" s="380" t="s">
        <v>112</v>
      </c>
      <c r="D104" s="373"/>
      <c r="E104" s="371" t="s">
        <v>152</v>
      </c>
    </row>
    <row r="106" spans="1:20" ht="15" customHeight="1" x14ac:dyDescent="0.35">
      <c r="B106" s="372" t="s">
        <v>229</v>
      </c>
      <c r="C106" s="380" t="s">
        <v>1</v>
      </c>
      <c r="D106" s="373"/>
      <c r="E106" s="371" t="s">
        <v>140</v>
      </c>
    </row>
    <row r="107" spans="1:20" ht="15" customHeight="1" x14ac:dyDescent="0.35">
      <c r="D107" s="373"/>
    </row>
    <row r="108" spans="1:20" ht="15" customHeight="1" x14ac:dyDescent="0.35">
      <c r="A108" s="389" t="s">
        <v>158</v>
      </c>
      <c r="B108" s="394"/>
      <c r="C108" s="388"/>
      <c r="D108" s="388"/>
      <c r="E108" s="388"/>
      <c r="F108" s="388"/>
      <c r="G108" s="388"/>
      <c r="H108" s="388"/>
      <c r="I108" s="388"/>
      <c r="J108" s="388"/>
      <c r="K108" s="388"/>
      <c r="L108" s="388"/>
      <c r="M108" s="388"/>
      <c r="N108" s="388"/>
      <c r="O108" s="388"/>
      <c r="P108" s="388"/>
      <c r="Q108" s="388"/>
      <c r="R108" s="388"/>
      <c r="S108" s="388"/>
      <c r="T108" s="388"/>
    </row>
    <row r="109" spans="1:20" ht="15" customHeight="1" x14ac:dyDescent="0.35">
      <c r="A109" s="389" t="s">
        <v>159</v>
      </c>
      <c r="B109" s="394"/>
      <c r="C109" s="388"/>
      <c r="D109" s="388"/>
      <c r="E109" s="388"/>
      <c r="F109" s="388"/>
      <c r="G109" s="388"/>
      <c r="H109" s="388"/>
      <c r="I109" s="388"/>
      <c r="J109" s="388"/>
      <c r="K109" s="388"/>
      <c r="L109" s="388"/>
      <c r="M109" s="388"/>
      <c r="N109" s="388"/>
      <c r="O109" s="388"/>
      <c r="P109" s="388"/>
      <c r="Q109" s="388"/>
      <c r="R109" s="388"/>
      <c r="S109" s="388"/>
      <c r="T109" s="388"/>
    </row>
    <row r="110" spans="1:20" ht="15" customHeight="1" x14ac:dyDescent="0.35">
      <c r="A110" s="389" t="s">
        <v>282</v>
      </c>
      <c r="B110" s="394"/>
      <c r="C110" s="388"/>
      <c r="D110" s="388"/>
      <c r="E110" s="388"/>
      <c r="F110" s="388"/>
      <c r="G110" s="388"/>
      <c r="H110" s="388"/>
      <c r="I110" s="388"/>
      <c r="J110" s="388"/>
      <c r="K110" s="388"/>
      <c r="L110" s="388"/>
      <c r="M110" s="388"/>
      <c r="N110" s="388"/>
      <c r="O110" s="388"/>
      <c r="P110" s="388"/>
      <c r="Q110" s="388"/>
      <c r="R110" s="388"/>
      <c r="S110" s="388"/>
      <c r="T110" s="388"/>
    </row>
  </sheetData>
  <sheetProtection algorithmName="SHA-512" hashValue="PAl0XUYnwXiAw+YPT8Z98qbo8ZcTw/WzQv1V6jc8MsAj7FY/Cd5+XfeWHUh3viuuU8NknWucxE0S4c2CtY3N2w==" saltValue="+3YjIp2o3czcSvE7ws4C2A==" spinCount="100000" sheet="1" selectLockedCells="1"/>
  <mergeCells count="2">
    <mergeCell ref="A1:T1"/>
    <mergeCell ref="B63:T63"/>
  </mergeCells>
  <pageMargins left="0" right="0" top="0.25" bottom="0" header="0.3" footer="0.3"/>
  <pageSetup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89A77-F422-48C8-ABB4-A78A3AB43DBD}">
  <dimension ref="A1:N14"/>
  <sheetViews>
    <sheetView zoomScaleNormal="100" workbookViewId="0">
      <selection activeCell="M24" sqref="M24"/>
    </sheetView>
  </sheetViews>
  <sheetFormatPr defaultColWidth="9.59765625" defaultRowHeight="19.5" x14ac:dyDescent="0.4"/>
  <cols>
    <col min="1" max="1" width="17" style="403" bestFit="1" customWidth="1"/>
    <col min="2" max="2" width="28.796875" style="403" bestFit="1" customWidth="1"/>
    <col min="3" max="3" width="22.3984375" style="403" bestFit="1" customWidth="1"/>
    <col min="4" max="13" width="9.59765625" style="403"/>
    <col min="14" max="14" width="14.19921875" style="403" bestFit="1" customWidth="1"/>
    <col min="15" max="16384" width="9.59765625" style="403"/>
  </cols>
  <sheetData>
    <row r="1" spans="1:14" x14ac:dyDescent="0.4">
      <c r="A1" s="403" t="s">
        <v>167</v>
      </c>
      <c r="B1" s="403" t="s">
        <v>168</v>
      </c>
      <c r="C1" s="403" t="s">
        <v>169</v>
      </c>
    </row>
    <row r="2" spans="1:14" x14ac:dyDescent="0.4">
      <c r="A2" s="404">
        <v>44652</v>
      </c>
      <c r="B2" s="405">
        <v>0.19539999999999999</v>
      </c>
      <c r="C2" s="403">
        <v>1.1954</v>
      </c>
      <c r="N2" s="406"/>
    </row>
    <row r="3" spans="1:14" x14ac:dyDescent="0.4">
      <c r="A3" s="404">
        <v>44743</v>
      </c>
      <c r="B3" s="405">
        <v>3.6499999999999998E-2</v>
      </c>
      <c r="C3" s="403">
        <v>1.0365</v>
      </c>
      <c r="D3" s="403" t="s">
        <v>172</v>
      </c>
      <c r="N3" s="406"/>
    </row>
    <row r="4" spans="1:14" x14ac:dyDescent="0.4">
      <c r="B4" s="405">
        <v>4.4580000000000002E-2</v>
      </c>
      <c r="D4" s="403" t="s">
        <v>173</v>
      </c>
      <c r="N4" s="406"/>
    </row>
    <row r="5" spans="1:14" x14ac:dyDescent="0.4">
      <c r="B5" s="405">
        <v>0.05</v>
      </c>
      <c r="D5" s="403" t="s">
        <v>174</v>
      </c>
      <c r="N5" s="406"/>
    </row>
    <row r="6" spans="1:14" x14ac:dyDescent="0.4">
      <c r="A6" s="404">
        <v>44927</v>
      </c>
      <c r="B6" s="405">
        <v>5.3E-3</v>
      </c>
      <c r="C6" s="403">
        <v>1.0053000000000001</v>
      </c>
      <c r="D6" s="403" t="s">
        <v>172</v>
      </c>
      <c r="N6" s="406"/>
    </row>
    <row r="7" spans="1:14" x14ac:dyDescent="0.4">
      <c r="B7" s="405">
        <v>5.4000000000000003E-3</v>
      </c>
      <c r="D7" s="403" t="s">
        <v>173</v>
      </c>
      <c r="N7" s="406"/>
    </row>
    <row r="8" spans="1:14" x14ac:dyDescent="0.4">
      <c r="B8" s="405">
        <v>2.53E-2</v>
      </c>
      <c r="D8" s="403" t="s">
        <v>232</v>
      </c>
    </row>
    <row r="9" spans="1:14" x14ac:dyDescent="0.4">
      <c r="A9" s="404">
        <v>45031</v>
      </c>
      <c r="B9" s="412">
        <v>1000</v>
      </c>
      <c r="D9" s="403" t="s">
        <v>243</v>
      </c>
    </row>
    <row r="10" spans="1:14" x14ac:dyDescent="0.4">
      <c r="B10" s="412">
        <v>1200</v>
      </c>
      <c r="D10" s="403" t="s">
        <v>244</v>
      </c>
    </row>
    <row r="11" spans="1:14" x14ac:dyDescent="0.4">
      <c r="B11" s="413" t="s">
        <v>247</v>
      </c>
      <c r="D11" s="403" t="s">
        <v>245</v>
      </c>
    </row>
    <row r="12" spans="1:14" x14ac:dyDescent="0.4">
      <c r="B12" s="412">
        <v>150</v>
      </c>
      <c r="D12" s="403" t="s">
        <v>246</v>
      </c>
    </row>
    <row r="13" spans="1:14" x14ac:dyDescent="0.4">
      <c r="A13" s="404">
        <v>45108</v>
      </c>
      <c r="B13" s="405">
        <v>9.9900000000000003E-2</v>
      </c>
      <c r="D13" s="403" t="s">
        <v>241</v>
      </c>
    </row>
    <row r="14" spans="1:14" x14ac:dyDescent="0.4">
      <c r="B14" s="412">
        <v>70.510000000000005</v>
      </c>
      <c r="D14" s="403" t="s">
        <v>242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S38"/>
  <sheetViews>
    <sheetView showGridLines="0" showZeros="0" tabSelected="1" zoomScaleNormal="100" workbookViewId="0">
      <selection activeCell="B6" sqref="B6"/>
    </sheetView>
  </sheetViews>
  <sheetFormatPr defaultColWidth="9.3984375" defaultRowHeight="15" customHeight="1" x14ac:dyDescent="0.25"/>
  <cols>
    <col min="1" max="1" width="87.59765625" style="3" customWidth="1"/>
    <col min="2" max="2" width="24.59765625" style="3" customWidth="1"/>
    <col min="3" max="3" width="13.3984375" style="2" customWidth="1"/>
    <col min="4" max="4" width="22.796875" style="3" customWidth="1"/>
    <col min="5" max="5" width="10.19921875" style="3" customWidth="1"/>
    <col min="6" max="6" width="26.59765625" style="3" customWidth="1"/>
    <col min="7" max="7" width="7.796875" style="3" customWidth="1"/>
    <col min="8" max="8" width="24.59765625" style="3" customWidth="1"/>
    <col min="9" max="9" width="16" style="3" customWidth="1"/>
    <col min="10" max="10" width="8.796875" style="3" hidden="1" customWidth="1"/>
    <col min="11" max="16384" width="9.3984375" style="3"/>
  </cols>
  <sheetData>
    <row r="1" spans="1:253" ht="30.75" customHeight="1" x14ac:dyDescent="0.25">
      <c r="A1" s="419" t="s">
        <v>21</v>
      </c>
      <c r="B1" s="419"/>
      <c r="C1" s="419"/>
      <c r="D1" s="419"/>
      <c r="E1" s="419"/>
      <c r="F1" s="419"/>
      <c r="G1" s="419"/>
      <c r="H1" s="419"/>
      <c r="I1" s="419"/>
    </row>
    <row r="2" spans="1:253" s="117" customFormat="1" ht="15" customHeight="1" x14ac:dyDescent="0.4">
      <c r="A2" s="420" t="s">
        <v>236</v>
      </c>
      <c r="B2" s="420"/>
      <c r="C2" s="420"/>
      <c r="D2" s="420"/>
      <c r="E2" s="420"/>
      <c r="F2" s="420"/>
      <c r="G2" s="420"/>
      <c r="H2" s="420"/>
      <c r="I2" s="420"/>
    </row>
    <row r="3" spans="1:253" s="117" customFormat="1" ht="15" customHeight="1" x14ac:dyDescent="0.4">
      <c r="A3" s="303" t="s">
        <v>20</v>
      </c>
      <c r="B3" s="304"/>
      <c r="C3" s="421" t="s">
        <v>18</v>
      </c>
      <c r="D3" s="421"/>
      <c r="E3" s="421"/>
      <c r="F3" s="353" t="s">
        <v>105</v>
      </c>
      <c r="G3" s="305" t="s">
        <v>40</v>
      </c>
      <c r="H3" s="306" t="s">
        <v>104</v>
      </c>
      <c r="I3" s="307"/>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c r="IP3" s="118"/>
      <c r="IQ3" s="118"/>
      <c r="IR3" s="118"/>
      <c r="IS3" s="118"/>
    </row>
    <row r="4" spans="1:253" s="117" customFormat="1" ht="15" customHeight="1" x14ac:dyDescent="0.4">
      <c r="A4" s="415"/>
      <c r="B4" s="308"/>
      <c r="C4" s="424"/>
      <c r="D4" s="425"/>
      <c r="E4" s="302"/>
      <c r="F4" s="416"/>
      <c r="G4" s="309" t="s">
        <v>40</v>
      </c>
      <c r="H4" s="417"/>
      <c r="I4" s="309"/>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row>
    <row r="5" spans="1:253" s="117" customFormat="1" ht="15" customHeight="1" x14ac:dyDescent="0.4">
      <c r="A5" s="308"/>
      <c r="B5" s="308"/>
      <c r="C5" s="310"/>
      <c r="D5" s="308"/>
      <c r="E5" s="302"/>
      <c r="F5" s="302" t="s">
        <v>40</v>
      </c>
      <c r="G5" s="311" t="s">
        <v>40</v>
      </c>
      <c r="H5" s="312"/>
      <c r="I5" s="312"/>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row>
    <row r="6" spans="1:253" s="117" customFormat="1" ht="15" customHeight="1" x14ac:dyDescent="0.4">
      <c r="A6" s="365" t="s">
        <v>54</v>
      </c>
      <c r="B6" s="396"/>
      <c r="C6" s="310"/>
      <c r="D6" s="418"/>
      <c r="E6" s="418"/>
      <c r="F6" s="304" t="s">
        <v>40</v>
      </c>
      <c r="G6" s="308"/>
      <c r="H6" s="302"/>
      <c r="I6" s="302"/>
      <c r="J6" s="119"/>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row>
    <row r="7" spans="1:253" s="117" customFormat="1" ht="15" customHeight="1" x14ac:dyDescent="0.4">
      <c r="A7" s="313"/>
      <c r="B7" s="314"/>
      <c r="C7" s="310"/>
      <c r="D7" s="315"/>
      <c r="E7" s="315"/>
      <c r="F7" s="316"/>
      <c r="G7" s="308"/>
      <c r="H7" s="302"/>
      <c r="I7" s="302"/>
      <c r="J7" s="119"/>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1:253" s="117" customFormat="1" ht="15" customHeight="1" x14ac:dyDescent="0.4">
      <c r="A8" s="422" t="s">
        <v>7</v>
      </c>
      <c r="B8" s="354" t="s">
        <v>3</v>
      </c>
      <c r="C8" s="354" t="s">
        <v>96</v>
      </c>
      <c r="D8" s="355" t="s">
        <v>94</v>
      </c>
      <c r="E8" s="317" t="s">
        <v>40</v>
      </c>
      <c r="F8" s="318"/>
      <c r="G8" s="318"/>
      <c r="H8" s="319"/>
      <c r="I8" s="320"/>
    </row>
    <row r="9" spans="1:253" s="117" customFormat="1" ht="15" customHeight="1" x14ac:dyDescent="0.4">
      <c r="A9" s="423"/>
      <c r="B9" s="354" t="s">
        <v>41</v>
      </c>
      <c r="C9" s="354" t="s">
        <v>65</v>
      </c>
      <c r="D9" s="355" t="s">
        <v>95</v>
      </c>
      <c r="E9" s="317" t="s">
        <v>40</v>
      </c>
      <c r="F9" s="317"/>
      <c r="G9" s="317"/>
      <c r="H9" s="320"/>
      <c r="I9" s="320"/>
    </row>
    <row r="10" spans="1:253" s="117" customFormat="1" ht="15" customHeight="1" x14ac:dyDescent="0.4">
      <c r="A10" s="361" t="s">
        <v>186</v>
      </c>
      <c r="B10" s="356" t="str">
        <f>IF(RHS!F24&lt;0,"",RHS!I30)</f>
        <v/>
      </c>
      <c r="C10" s="357" t="str">
        <f>IF(RHS!F24&lt;0,"",RHS!G7)</f>
        <v/>
      </c>
      <c r="D10" s="366" t="str">
        <f>IF(RHS!F24&lt;0," ",ROUND(RHS!F24,2))</f>
        <v xml:space="preserve"> </v>
      </c>
      <c r="E10" s="317"/>
      <c r="F10" s="400" t="s">
        <v>40</v>
      </c>
      <c r="G10" s="317"/>
      <c r="H10" s="320"/>
      <c r="I10" s="320"/>
    </row>
    <row r="11" spans="1:253" s="117" customFormat="1" ht="15" customHeight="1" x14ac:dyDescent="0.4">
      <c r="A11" s="361" t="s">
        <v>187</v>
      </c>
      <c r="B11" s="356" t="str">
        <f>IF('PPS HHS'!J18=0,"",'PPS HHS'!J35)</f>
        <v/>
      </c>
      <c r="C11" s="356"/>
      <c r="D11" s="366" t="str">
        <f>IF('PPS HHS'!J18=0," ",ROUND('PPS HHS'!J18,2))</f>
        <v xml:space="preserve"> </v>
      </c>
      <c r="E11" s="317"/>
      <c r="F11" s="317" t="s">
        <v>40</v>
      </c>
      <c r="G11" s="317"/>
      <c r="H11" s="320"/>
      <c r="I11" s="321"/>
    </row>
    <row r="12" spans="1:253" s="117" customFormat="1" ht="15" customHeight="1" x14ac:dyDescent="0.4">
      <c r="A12" s="361" t="s">
        <v>188</v>
      </c>
      <c r="B12" s="356" t="str">
        <f>IF(DSG!F13=0,"",DSG!I17)</f>
        <v/>
      </c>
      <c r="C12" s="357" t="str">
        <f>IF(DSG!F13=0,"",DSG!H6)</f>
        <v/>
      </c>
      <c r="D12" s="366" t="str">
        <f>IF(DSG!F13=0,"",ROUND(DSG!F13,2))</f>
        <v/>
      </c>
      <c r="E12" s="317"/>
      <c r="F12" s="317"/>
      <c r="G12" s="317"/>
      <c r="H12" s="320"/>
      <c r="I12" s="321"/>
    </row>
    <row r="13" spans="1:253" s="117" customFormat="1" ht="15" customHeight="1" x14ac:dyDescent="0.4">
      <c r="A13" s="361" t="s">
        <v>189</v>
      </c>
      <c r="B13" s="356" t="str">
        <f>IF('SEE SEI DSI'!L11=0,"",'SEE SEI DSI'!K24)</f>
        <v/>
      </c>
      <c r="C13" s="357" t="str">
        <f>IF('SEE SEI DSI'!B36=0,"",'SEE SEI DSI'!L11)</f>
        <v/>
      </c>
      <c r="D13" s="367" t="str">
        <f>IF('SEE SEI DSI'!L11=0," ",ROUND('SEE SEI DSI'!K22,2))</f>
        <v xml:space="preserve"> </v>
      </c>
      <c r="E13" s="317"/>
      <c r="F13" s="317"/>
      <c r="G13" s="317"/>
      <c r="H13" s="320"/>
      <c r="I13" s="321"/>
    </row>
    <row r="14" spans="1:253" s="117" customFormat="1" ht="15" customHeight="1" x14ac:dyDescent="0.4">
      <c r="A14" s="361" t="s">
        <v>190</v>
      </c>
      <c r="B14" s="356" t="str">
        <f>IF('DSP 6 hr Daily'!H13=0,"",'DSP 6 hr Daily'!J18)</f>
        <v/>
      </c>
      <c r="C14" s="358" t="str">
        <f>IF('DSP 6 hr Daily'!H13=0,"",'DSP 6 hr Daily'!I6)</f>
        <v/>
      </c>
      <c r="D14" s="367" t="str">
        <f>IF('DSP 6 hr Daily'!H13=0,"",ROUND('DSP 6 hr Daily'!H13,2))</f>
        <v/>
      </c>
      <c r="E14" s="317" t="s">
        <v>40</v>
      </c>
      <c r="F14" s="317"/>
      <c r="G14" s="317"/>
      <c r="H14" s="320"/>
      <c r="I14" s="321"/>
    </row>
    <row r="15" spans="1:253" s="117" customFormat="1" ht="15" customHeight="1" x14ac:dyDescent="0.4">
      <c r="A15" s="361" t="s">
        <v>191</v>
      </c>
      <c r="B15" s="356" t="str">
        <f>IFERROR(IF('DSP 10 hr Daily'!H13=0,"",'DSP 10 hr Daily'!J18),"")</f>
        <v/>
      </c>
      <c r="C15" s="358" t="str">
        <f>IFERROR(IF('DSP 10 hr Daily'!H13=0,"",'DSP 10 hr Daily'!I6),"")</f>
        <v/>
      </c>
      <c r="D15" s="367" t="str">
        <f>IF('DSP 10 hr Daily'!H13=0,"",IFERROR(ROUND('DSP 10 hr Daily'!H13,2),""))</f>
        <v/>
      </c>
      <c r="E15" s="317"/>
      <c r="F15" s="317"/>
      <c r="G15" s="317"/>
      <c r="H15" s="320"/>
      <c r="I15" s="321"/>
    </row>
    <row r="16" spans="1:253" s="117" customFormat="1" ht="15" customHeight="1" x14ac:dyDescent="0.4">
      <c r="A16" s="362" t="s">
        <v>192</v>
      </c>
      <c r="B16" s="356" t="str">
        <f>IF('DSP Qtr Hr  '!I9=0," ",'DSP Qtr Hr  '!J17)</f>
        <v xml:space="preserve"> </v>
      </c>
      <c r="C16" s="359" t="str">
        <f>IF('DSP Qtr Hr  '!G20=0," ",'DSP Qtr Hr  '!I9)</f>
        <v xml:space="preserve"> </v>
      </c>
      <c r="D16" s="367" t="str">
        <f>IF('DSP Qtr Hr  '!G18=1," ",ROUND(('DSP Qtr Hr  '!G18/4),2))</f>
        <v xml:space="preserve"> </v>
      </c>
      <c r="E16" s="317"/>
      <c r="F16" s="317"/>
      <c r="G16" s="317"/>
      <c r="H16" s="320"/>
      <c r="I16" s="321"/>
    </row>
    <row r="17" spans="1:10" s="117" customFormat="1" ht="15" customHeight="1" x14ac:dyDescent="0.4">
      <c r="A17" s="362" t="s">
        <v>193</v>
      </c>
      <c r="B17" s="356" t="str">
        <f>IF('DSP Qtr Hr  '!I24&lt;1," ",'DSP Qtr Hr  '!J32)</f>
        <v xml:space="preserve"> </v>
      </c>
      <c r="C17" s="359" t="str">
        <f>IF('DSP Qtr Hr  '!G35=0," ",'DSP Qtr Hr  '!I24)</f>
        <v xml:space="preserve"> </v>
      </c>
      <c r="D17" s="367" t="str">
        <f>IF('DSP Qtr Hr  '!G33=1," ",ROUND(('DSP Qtr Hr  '!G33/4),2))</f>
        <v xml:space="preserve"> </v>
      </c>
      <c r="E17" s="317"/>
      <c r="F17" s="317"/>
      <c r="G17" s="317"/>
      <c r="H17" s="320"/>
      <c r="I17" s="321"/>
    </row>
    <row r="18" spans="1:10" s="117" customFormat="1" ht="15" customHeight="1" x14ac:dyDescent="0.4">
      <c r="A18" s="361" t="s">
        <v>194</v>
      </c>
      <c r="B18" s="356" t="str">
        <f>IF('EPR 6 hr Daily'!I6=0,"",'EPR 6 hr Daily'!J18)</f>
        <v/>
      </c>
      <c r="C18" s="358" t="str">
        <f>IF('EPR 6 hr Daily'!I6=0," ",'EPR 6 hr Daily'!I6)</f>
        <v xml:space="preserve"> </v>
      </c>
      <c r="D18" s="367" t="str">
        <f>IF('EPR 6 hr Daily'!H13=0," ",ROUND('EPR 6 hr Daily'!H13,2))</f>
        <v xml:space="preserve"> </v>
      </c>
      <c r="E18" s="317"/>
      <c r="F18" s="317"/>
      <c r="G18" s="317"/>
      <c r="H18" s="320"/>
      <c r="I18" s="321"/>
    </row>
    <row r="19" spans="1:10" s="117" customFormat="1" ht="15" customHeight="1" x14ac:dyDescent="0.4">
      <c r="A19" s="361" t="s">
        <v>195</v>
      </c>
      <c r="B19" s="356" t="str">
        <f>IF('EPR 10 hr Daily'!H13=0,"",'EPR 10 hr Daily'!J18)</f>
        <v/>
      </c>
      <c r="C19" s="358" t="str">
        <f>IF('EPR 10 hr Daily'!H13=0,"",'EPR 10 hr Daily'!I6)</f>
        <v/>
      </c>
      <c r="D19" s="367" t="str">
        <f>IF('EPR 10 hr Daily'!H13=0," ",ROUND('EPR 10 hr Daily'!H13,2))</f>
        <v xml:space="preserve"> </v>
      </c>
      <c r="E19" s="317"/>
      <c r="F19" s="317"/>
      <c r="G19" s="317"/>
      <c r="H19" s="320"/>
      <c r="I19" s="321"/>
    </row>
    <row r="20" spans="1:10" s="117" customFormat="1" ht="15" customHeight="1" x14ac:dyDescent="0.4">
      <c r="A20" s="363" t="s">
        <v>196</v>
      </c>
      <c r="B20" s="356" t="str">
        <f>IF('EPR Qtr Hr'!J17=0," ",'EPR Qtr Hr'!J17)</f>
        <v xml:space="preserve"> </v>
      </c>
      <c r="C20" s="359">
        <f>IF('EPR Qtr Hr'!G20=1," ",'EPR Qtr Hr'!G20)</f>
        <v>0</v>
      </c>
      <c r="D20" s="366" t="str">
        <f>IF('EPR Qtr Hr'!G18=1," ",ROUND(('EPR Qtr Hr'!G18/4),2))</f>
        <v xml:space="preserve"> </v>
      </c>
      <c r="E20" s="317"/>
      <c r="F20" s="317"/>
      <c r="G20" s="317"/>
      <c r="H20" s="320"/>
      <c r="I20" s="321"/>
    </row>
    <row r="21" spans="1:10" s="117" customFormat="1" ht="15" customHeight="1" x14ac:dyDescent="0.4">
      <c r="A21" s="364" t="s">
        <v>197</v>
      </c>
      <c r="B21" s="356" t="str">
        <f>IF('EPR Qtr Hr'!J32=0," ",'EPR Qtr Hr'!J32)</f>
        <v xml:space="preserve"> </v>
      </c>
      <c r="C21" s="360">
        <f>IF('EPR Qtr Hr'!G35=1," ",'EPR Qtr Hr'!G35)</f>
        <v>0</v>
      </c>
      <c r="D21" s="366" t="str">
        <f>+IF('EPR Qtr Hr'!G33=1," ",ROUND(('EPR Qtr Hr'!G33/4),2))</f>
        <v xml:space="preserve"> </v>
      </c>
      <c r="E21" s="305"/>
      <c r="F21" s="305"/>
      <c r="G21" s="305"/>
      <c r="H21" s="322"/>
      <c r="I21" s="322"/>
    </row>
    <row r="22" spans="1:10" ht="15" customHeight="1" x14ac:dyDescent="0.3">
      <c r="A22" s="13" t="s">
        <v>40</v>
      </c>
      <c r="B22" s="14" t="s">
        <v>40</v>
      </c>
      <c r="C22" s="15" t="s">
        <v>40</v>
      </c>
      <c r="D22" s="16" t="s">
        <v>40</v>
      </c>
      <c r="E22" s="17"/>
      <c r="F22" s="17"/>
      <c r="G22" s="17"/>
      <c r="H22" s="18"/>
      <c r="I22" s="17"/>
    </row>
    <row r="23" spans="1:10" ht="15" customHeight="1" x14ac:dyDescent="0.3">
      <c r="A23" s="13" t="s">
        <v>40</v>
      </c>
      <c r="B23" s="14"/>
      <c r="C23" s="15"/>
      <c r="D23" s="18"/>
      <c r="E23" s="17"/>
      <c r="F23" s="17" t="s">
        <v>40</v>
      </c>
      <c r="G23" s="17"/>
      <c r="H23" s="17"/>
      <c r="I23" s="17"/>
    </row>
    <row r="24" spans="1:10" ht="15" customHeight="1" x14ac:dyDescent="0.25">
      <c r="A24" s="1" t="s">
        <v>235</v>
      </c>
      <c r="B24" s="19"/>
      <c r="C24" s="20"/>
      <c r="D24" s="21"/>
      <c r="E24" s="22"/>
      <c r="F24" s="23"/>
      <c r="G24" s="23"/>
      <c r="H24" s="23"/>
      <c r="I24" s="23"/>
    </row>
    <row r="25" spans="1:10" ht="15" customHeight="1" x14ac:dyDescent="0.25">
      <c r="A25" s="4" t="s">
        <v>43</v>
      </c>
      <c r="D25" s="12"/>
      <c r="E25" s="12"/>
      <c r="F25" s="12"/>
      <c r="G25" s="12"/>
      <c r="H25" s="12"/>
      <c r="I25" s="23"/>
    </row>
    <row r="26" spans="1:10" ht="15" customHeight="1" x14ac:dyDescent="0.25">
      <c r="A26" s="4" t="s">
        <v>6</v>
      </c>
      <c r="D26" s="12"/>
      <c r="E26" s="12"/>
      <c r="F26" s="12"/>
      <c r="G26" s="12"/>
      <c r="H26" s="12"/>
      <c r="I26" s="23"/>
    </row>
    <row r="27" spans="1:10" ht="15" customHeight="1" x14ac:dyDescent="0.25">
      <c r="D27" s="12"/>
      <c r="E27" s="12"/>
      <c r="F27" s="12"/>
      <c r="G27" s="12"/>
      <c r="H27" s="12"/>
      <c r="I27" s="12"/>
      <c r="J27" s="24"/>
    </row>
    <row r="28" spans="1:10" ht="15" customHeight="1" x14ac:dyDescent="0.35">
      <c r="A28" s="410"/>
      <c r="D28" s="12"/>
      <c r="E28" s="23"/>
      <c r="F28" s="23"/>
      <c r="G28" s="23"/>
      <c r="H28" s="23"/>
      <c r="I28" s="12"/>
      <c r="J28" s="24"/>
    </row>
    <row r="29" spans="1:10" ht="15" customHeight="1" x14ac:dyDescent="0.25">
      <c r="J29" s="25"/>
    </row>
    <row r="30" spans="1:10" ht="15" customHeight="1" x14ac:dyDescent="0.25">
      <c r="D30" s="22"/>
      <c r="E30" s="26"/>
      <c r="F30" s="26"/>
      <c r="G30" s="26"/>
      <c r="H30" s="26"/>
      <c r="J30" s="12"/>
    </row>
    <row r="31" spans="1:10" ht="15" customHeight="1" x14ac:dyDescent="0.25">
      <c r="J31" s="12"/>
    </row>
    <row r="32" spans="1:10" ht="15" customHeight="1" x14ac:dyDescent="0.25">
      <c r="J32" s="12"/>
    </row>
    <row r="33" spans="10:10" ht="15" customHeight="1" x14ac:dyDescent="0.25">
      <c r="J33" s="12"/>
    </row>
    <row r="34" spans="10:10" ht="15" customHeight="1" x14ac:dyDescent="0.25">
      <c r="J34" s="23"/>
    </row>
    <row r="35" spans="10:10" ht="15" customHeight="1" x14ac:dyDescent="0.25">
      <c r="J35" s="23"/>
    </row>
    <row r="36" spans="10:10" ht="15" customHeight="1" x14ac:dyDescent="0.25">
      <c r="J36" s="23"/>
    </row>
    <row r="37" spans="10:10" ht="15" customHeight="1" x14ac:dyDescent="0.25">
      <c r="J37" s="12"/>
    </row>
    <row r="38" spans="10:10" ht="15" customHeight="1" x14ac:dyDescent="0.25">
      <c r="J38" s="12"/>
    </row>
  </sheetData>
  <sheetProtection algorithmName="SHA-512" hashValue="BmtTxvueBBIcmZrgvNIu9/T6A1Wh5UFGePKA9zajFAOiRI2YgJJpX/4FLxfHMw6lW/1+/3YpwMMRLXz2HPe/WA==" saltValue="CPBqr0Q5ura39MXszTDLiQ==" spinCount="100000" sheet="1" selectLockedCells="1"/>
  <mergeCells count="6">
    <mergeCell ref="D6:E6"/>
    <mergeCell ref="A1:I1"/>
    <mergeCell ref="A2:I2"/>
    <mergeCell ref="C3:E3"/>
    <mergeCell ref="A8:A9"/>
    <mergeCell ref="C4:D4"/>
  </mergeCells>
  <phoneticPr fontId="2" type="noConversion"/>
  <printOptions horizontalCentered="1"/>
  <pageMargins left="0.25" right="0.25" top="0.49" bottom="0.49" header="0" footer="0"/>
  <pageSetup scale="8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3">
    <pageSetUpPr fitToPage="1"/>
  </sheetPr>
  <dimension ref="A1:IV91"/>
  <sheetViews>
    <sheetView showGridLines="0" zoomScaleNormal="100" workbookViewId="0">
      <selection activeCell="G22" sqref="G22"/>
    </sheetView>
  </sheetViews>
  <sheetFormatPr defaultColWidth="9.59765625" defaultRowHeight="15" customHeight="1" x14ac:dyDescent="0.15"/>
  <cols>
    <col min="1" max="1" width="24.59765625" style="28" customWidth="1"/>
    <col min="2" max="2" width="22.59765625" style="28" customWidth="1"/>
    <col min="3" max="3" width="19.3984375" style="28" customWidth="1"/>
    <col min="4" max="4" width="33.796875" style="28" hidden="1" customWidth="1"/>
    <col min="5" max="5" width="32.3984375" style="28" customWidth="1"/>
    <col min="6" max="6" width="22.3984375" style="28" customWidth="1"/>
    <col min="7" max="7" width="17" style="28" customWidth="1"/>
    <col min="8" max="8" width="20.796875" style="28" customWidth="1"/>
    <col min="9" max="9" width="18" style="28" customWidth="1"/>
    <col min="10" max="10" width="19.19921875" style="28" customWidth="1"/>
    <col min="11" max="11" width="17.19921875" style="28" customWidth="1"/>
    <col min="12" max="12" width="19.19921875" style="28" bestFit="1" customWidth="1"/>
    <col min="13" max="13" width="29.19921875" style="28" customWidth="1"/>
    <col min="14" max="14" width="10" style="28" customWidth="1"/>
    <col min="15" max="15" width="14.19921875" style="28" bestFit="1" customWidth="1"/>
    <col min="16" max="207" width="10" style="28" customWidth="1"/>
    <col min="208" max="208" width="2" style="28" customWidth="1"/>
    <col min="209" max="16384" width="9.59765625" style="28"/>
  </cols>
  <sheetData>
    <row r="1" spans="1:256" ht="30.75" customHeight="1" x14ac:dyDescent="0.45">
      <c r="A1" s="426" t="s">
        <v>84</v>
      </c>
      <c r="B1" s="426"/>
      <c r="C1" s="426"/>
      <c r="D1" s="426"/>
      <c r="E1" s="426"/>
      <c r="F1" s="426"/>
      <c r="G1" s="426"/>
      <c r="H1" s="426"/>
      <c r="I1" s="426"/>
      <c r="J1" s="426"/>
    </row>
    <row r="2" spans="1:256" s="59" customFormat="1" ht="15" customHeight="1" x14ac:dyDescent="0.35">
      <c r="A2" s="427" t="str">
        <f>'Budget Plan '!A2:I2</f>
        <v>FY2024</v>
      </c>
      <c r="B2" s="427"/>
      <c r="C2" s="427"/>
      <c r="D2" s="427"/>
      <c r="E2" s="427"/>
      <c r="F2" s="427"/>
      <c r="G2" s="427"/>
      <c r="H2" s="427"/>
      <c r="I2" s="427"/>
      <c r="J2" s="427"/>
    </row>
    <row r="3" spans="1:256" s="59" customFormat="1" ht="15" customHeight="1" x14ac:dyDescent="0.35">
      <c r="A3" s="29" t="s">
        <v>42</v>
      </c>
      <c r="B3" s="30"/>
      <c r="E3" s="30" t="s">
        <v>18</v>
      </c>
      <c r="F3" s="76"/>
      <c r="G3" s="31" t="s">
        <v>103</v>
      </c>
      <c r="H3" s="120"/>
      <c r="I3" s="408" t="s">
        <v>104</v>
      </c>
      <c r="J3" s="157" t="s">
        <v>239</v>
      </c>
    </row>
    <row r="4" spans="1:256" s="59" customFormat="1" ht="15" customHeight="1" x14ac:dyDescent="0.35">
      <c r="A4" s="32">
        <f>'Budget Plan '!A4</f>
        <v>0</v>
      </c>
      <c r="B4" s="33"/>
      <c r="C4" s="76"/>
      <c r="E4" s="34">
        <f>'Budget Plan '!C4</f>
        <v>0</v>
      </c>
      <c r="F4" s="76"/>
      <c r="G4" s="35">
        <f>'Budget Plan '!F4</f>
        <v>0</v>
      </c>
      <c r="H4" s="38"/>
      <c r="I4" s="36">
        <f>'Budget Plan '!H4</f>
        <v>0</v>
      </c>
      <c r="J4" s="411">
        <f>IF(RHS!B6&lt;0," ",'Budget Plan '!B6)</f>
        <v>0</v>
      </c>
    </row>
    <row r="5" spans="1:256" s="59" customFormat="1" ht="15" customHeight="1" x14ac:dyDescent="0.35">
      <c r="A5" s="121"/>
      <c r="B5" s="121"/>
      <c r="C5" s="81"/>
      <c r="D5" s="29"/>
      <c r="E5" s="81"/>
      <c r="F5" s="30"/>
      <c r="G5" s="84"/>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row>
    <row r="6" spans="1:256" s="59" customFormat="1" ht="15" customHeight="1" x14ac:dyDescent="0.35">
      <c r="A6" s="81"/>
      <c r="B6" s="81"/>
      <c r="C6" s="84"/>
      <c r="D6" s="81"/>
      <c r="E6" s="84" t="s">
        <v>58</v>
      </c>
      <c r="F6" s="81"/>
      <c r="G6" s="81"/>
      <c r="H6" s="81"/>
      <c r="I6" s="407"/>
      <c r="J6" s="409"/>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row>
    <row r="7" spans="1:256" s="59" customFormat="1" ht="15" customHeight="1" x14ac:dyDescent="0.35">
      <c r="A7" s="81"/>
      <c r="B7" s="81"/>
      <c r="C7" s="84"/>
      <c r="D7" s="428" t="s">
        <v>5</v>
      </c>
      <c r="E7" s="428"/>
      <c r="F7" s="428"/>
      <c r="G7" s="414">
        <f>ROUND((H8)-(I8),0)</f>
        <v>365</v>
      </c>
      <c r="I7" s="76"/>
      <c r="J7" s="120"/>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c r="IR7" s="76"/>
      <c r="IS7" s="76"/>
      <c r="IT7" s="76"/>
      <c r="IU7" s="76"/>
      <c r="IV7" s="76"/>
    </row>
    <row r="8" spans="1:256" s="59" customFormat="1" ht="15" customHeight="1" x14ac:dyDescent="0.35">
      <c r="A8" s="81"/>
      <c r="B8" s="81"/>
      <c r="C8" s="84"/>
      <c r="D8" s="430" t="s">
        <v>8</v>
      </c>
      <c r="E8" s="430"/>
      <c r="F8" s="430"/>
      <c r="G8" s="237">
        <f>1-(G7/H8)</f>
        <v>0</v>
      </c>
      <c r="H8" s="238">
        <v>365</v>
      </c>
      <c r="I8" s="271">
        <v>0</v>
      </c>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6"/>
      <c r="IT8" s="76"/>
      <c r="IU8" s="76"/>
      <c r="IV8" s="76"/>
    </row>
    <row r="9" spans="1:256" s="59" customFormat="1" ht="15" customHeight="1" x14ac:dyDescent="0.35">
      <c r="A9" s="85"/>
      <c r="B9" s="85"/>
      <c r="D9" s="30"/>
      <c r="E9" s="30"/>
      <c r="F9" s="30"/>
      <c r="G9" s="30"/>
      <c r="H9" s="122" t="s">
        <v>16</v>
      </c>
      <c r="I9" s="122" t="s">
        <v>17</v>
      </c>
      <c r="J9" s="30"/>
    </row>
    <row r="10" spans="1:256" s="59" customFormat="1" ht="15" customHeight="1" x14ac:dyDescent="0.35">
      <c r="A10" s="29" t="s">
        <v>181</v>
      </c>
      <c r="B10" s="29"/>
      <c r="D10" s="122" t="s">
        <v>11</v>
      </c>
      <c r="E10" s="122" t="s">
        <v>9</v>
      </c>
      <c r="F10" s="123" t="s">
        <v>10</v>
      </c>
      <c r="G10" s="124" t="s">
        <v>4</v>
      </c>
      <c r="H10" s="123" t="s">
        <v>13</v>
      </c>
      <c r="I10" s="154" t="s">
        <v>14</v>
      </c>
      <c r="J10" s="122" t="s">
        <v>15</v>
      </c>
    </row>
    <row r="11" spans="1:256" s="59" customFormat="1" ht="15" customHeight="1" x14ac:dyDescent="0.35">
      <c r="A11" s="125" t="s">
        <v>36</v>
      </c>
      <c r="B11" s="126"/>
      <c r="C11" s="127"/>
      <c r="D11" s="92">
        <v>8.69</v>
      </c>
      <c r="E11" s="272"/>
      <c r="F11" s="273"/>
      <c r="G11" s="274">
        <v>2</v>
      </c>
      <c r="H11" s="235">
        <f t="shared" ref="H11:H16" si="0">ROUND(((E11*($H$8/12))/(G11))+(((F11))/(G11)),1)</f>
        <v>0</v>
      </c>
      <c r="I11" s="236">
        <f>ROUND((D11*E11)/(G11),2)</f>
        <v>0</v>
      </c>
      <c r="J11" s="236">
        <f t="shared" ref="J11:J16" si="1">ROUND((D11*F11)/(G11),2)</f>
        <v>0</v>
      </c>
    </row>
    <row r="12" spans="1:256" s="59" customFormat="1" ht="15" customHeight="1" x14ac:dyDescent="0.35">
      <c r="A12" s="125" t="s">
        <v>37</v>
      </c>
      <c r="B12" s="126"/>
      <c r="C12" s="127"/>
      <c r="D12" s="128">
        <v>12.02</v>
      </c>
      <c r="E12" s="275"/>
      <c r="F12" s="275"/>
      <c r="G12" s="276">
        <v>1</v>
      </c>
      <c r="H12" s="235">
        <f t="shared" si="0"/>
        <v>0</v>
      </c>
      <c r="I12" s="236">
        <f>ROUND((D12*E12)/(G12),3)</f>
        <v>0</v>
      </c>
      <c r="J12" s="236">
        <f t="shared" si="1"/>
        <v>0</v>
      </c>
    </row>
    <row r="13" spans="1:256" s="59" customFormat="1" ht="15" customHeight="1" x14ac:dyDescent="0.35">
      <c r="A13" s="129" t="s">
        <v>33</v>
      </c>
      <c r="B13" s="130"/>
      <c r="C13" s="131"/>
      <c r="D13" s="128">
        <v>12.02</v>
      </c>
      <c r="E13" s="277"/>
      <c r="F13" s="277"/>
      <c r="G13" s="278">
        <v>1</v>
      </c>
      <c r="H13" s="235">
        <f t="shared" si="0"/>
        <v>0</v>
      </c>
      <c r="I13" s="236">
        <f>ROUND((D13*E13)/(G13),2)</f>
        <v>0</v>
      </c>
      <c r="J13" s="236">
        <f t="shared" si="1"/>
        <v>0</v>
      </c>
    </row>
    <row r="14" spans="1:256" s="59" customFormat="1" ht="15" customHeight="1" x14ac:dyDescent="0.35">
      <c r="A14" s="129" t="s">
        <v>34</v>
      </c>
      <c r="B14" s="130"/>
      <c r="C14" s="132"/>
      <c r="D14" s="128">
        <v>12.02</v>
      </c>
      <c r="E14" s="277"/>
      <c r="F14" s="277"/>
      <c r="G14" s="278">
        <v>2</v>
      </c>
      <c r="H14" s="235">
        <f>ROUND(((E14*($H$8/12))/(G14))+(((F14))/(G14)),1)</f>
        <v>0</v>
      </c>
      <c r="I14" s="236">
        <f>ROUND((D14*E14)/(G14),2)</f>
        <v>0</v>
      </c>
      <c r="J14" s="236">
        <f>ROUND((D14*F14)/(G14),2)</f>
        <v>0</v>
      </c>
    </row>
    <row r="15" spans="1:256" s="59" customFormat="1" ht="15" customHeight="1" x14ac:dyDescent="0.35">
      <c r="A15" s="133" t="s">
        <v>35</v>
      </c>
      <c r="B15" s="134"/>
      <c r="C15" s="135"/>
      <c r="D15" s="128">
        <v>12.02</v>
      </c>
      <c r="E15" s="277"/>
      <c r="F15" s="277"/>
      <c r="G15" s="278">
        <v>3</v>
      </c>
      <c r="H15" s="235">
        <f>ROUND(((E15*($H$8/12))/(G15))+(((F15))/(G15)),1)</f>
        <v>0</v>
      </c>
      <c r="I15" s="236">
        <f>ROUND((D15*E15)/(G15),2)</f>
        <v>0</v>
      </c>
      <c r="J15" s="236">
        <f>ROUND((D15*F15)/(G15),2)</f>
        <v>0</v>
      </c>
    </row>
    <row r="16" spans="1:256" s="59" customFormat="1" ht="15" customHeight="1" x14ac:dyDescent="0.35">
      <c r="A16" s="256" t="s">
        <v>53</v>
      </c>
      <c r="B16" s="257"/>
      <c r="C16" s="258"/>
      <c r="D16" s="136">
        <v>12.02</v>
      </c>
      <c r="E16" s="259">
        <v>-0.05</v>
      </c>
      <c r="F16" s="260"/>
      <c r="G16" s="261">
        <v>1</v>
      </c>
      <c r="H16" s="235">
        <f t="shared" si="0"/>
        <v>-1.5</v>
      </c>
      <c r="I16" s="236">
        <f>ROUND((D16*E16)/(G16),2)</f>
        <v>-0.6</v>
      </c>
      <c r="J16" s="236">
        <f t="shared" si="1"/>
        <v>0</v>
      </c>
    </row>
    <row r="17" spans="1:13" s="59" customFormat="1" ht="15" customHeight="1" x14ac:dyDescent="0.35">
      <c r="A17" s="133"/>
      <c r="B17" s="134"/>
      <c r="C17" s="135"/>
      <c r="D17" s="137" t="s">
        <v>44</v>
      </c>
      <c r="E17" s="123" t="s">
        <v>45</v>
      </c>
      <c r="F17" s="251" t="s">
        <v>44</v>
      </c>
      <c r="G17" s="252" t="s">
        <v>44</v>
      </c>
      <c r="H17" s="251" t="s">
        <v>44</v>
      </c>
      <c r="I17" s="251" t="s">
        <v>44</v>
      </c>
      <c r="J17" s="251" t="s">
        <v>44</v>
      </c>
    </row>
    <row r="18" spans="1:13" s="59" customFormat="1" ht="15" customHeight="1" x14ac:dyDescent="0.35">
      <c r="A18" s="138" t="s">
        <v>38</v>
      </c>
      <c r="B18" s="139"/>
      <c r="C18" s="131"/>
      <c r="D18" s="140">
        <v>12.02</v>
      </c>
      <c r="E18" s="279"/>
      <c r="F18" s="251" t="s">
        <v>44</v>
      </c>
      <c r="G18" s="278">
        <v>1</v>
      </c>
      <c r="H18" s="235">
        <f>ROUND((E18/G18)*4.33,1)</f>
        <v>0</v>
      </c>
      <c r="I18" s="236">
        <f>ROUND(((D18*E18)/(G18))/7,2)</f>
        <v>0</v>
      </c>
      <c r="J18" s="251" t="s">
        <v>44</v>
      </c>
    </row>
    <row r="19" spans="1:13" s="59" customFormat="1" ht="15" customHeight="1" x14ac:dyDescent="0.35">
      <c r="A19" s="133" t="s">
        <v>39</v>
      </c>
      <c r="B19" s="134"/>
      <c r="C19" s="135"/>
      <c r="D19" s="141">
        <v>12.02</v>
      </c>
      <c r="E19" s="279"/>
      <c r="F19" s="251" t="s">
        <v>44</v>
      </c>
      <c r="G19" s="278">
        <v>3</v>
      </c>
      <c r="H19" s="235">
        <f>ROUND((E19/G19)*4.33,1)</f>
        <v>0</v>
      </c>
      <c r="I19" s="236">
        <f>ROUND(((D19*E19)/(G19))/7,2)</f>
        <v>0</v>
      </c>
      <c r="J19" s="251" t="s">
        <v>44</v>
      </c>
    </row>
    <row r="20" spans="1:13" s="59" customFormat="1" ht="15" customHeight="1" x14ac:dyDescent="0.35">
      <c r="A20" s="87"/>
      <c r="B20" s="87"/>
      <c r="D20" s="141"/>
      <c r="E20" s="123"/>
      <c r="F20" s="123"/>
      <c r="G20" s="142" t="s">
        <v>62</v>
      </c>
      <c r="H20" s="254">
        <f>SUM(H11:H19)</f>
        <v>-1.5</v>
      </c>
      <c r="I20" s="251" t="s">
        <v>44</v>
      </c>
      <c r="J20" s="251" t="s">
        <v>44</v>
      </c>
    </row>
    <row r="21" spans="1:13" s="59" customFormat="1" ht="15" customHeight="1" x14ac:dyDescent="0.35">
      <c r="A21" s="76"/>
      <c r="B21" s="76"/>
      <c r="C21" s="91"/>
      <c r="D21" s="143" t="s">
        <v>44</v>
      </c>
      <c r="E21" s="262" t="s">
        <v>61</v>
      </c>
      <c r="F21" s="263" t="s">
        <v>16</v>
      </c>
      <c r="G21" s="255" t="s">
        <v>44</v>
      </c>
      <c r="H21" s="267" t="s">
        <v>44</v>
      </c>
      <c r="I21" s="253" t="s">
        <v>44</v>
      </c>
      <c r="J21" s="253" t="s">
        <v>44</v>
      </c>
    </row>
    <row r="22" spans="1:13" s="59" customFormat="1" ht="15" customHeight="1" x14ac:dyDescent="0.35">
      <c r="A22" s="264" t="s">
        <v>237</v>
      </c>
      <c r="B22" s="265"/>
      <c r="C22" s="266"/>
      <c r="D22" s="144">
        <v>12.02</v>
      </c>
      <c r="E22" s="280">
        <v>6</v>
      </c>
      <c r="F22" s="280">
        <v>16</v>
      </c>
      <c r="G22" s="280">
        <v>2</v>
      </c>
      <c r="H22" s="239">
        <f>((F22*E22)/G22)/(H8/12)</f>
        <v>1.5780821917808219</v>
      </c>
      <c r="I22" s="236">
        <f>SUM(ROUND(((D22*E22*F22/G22)/365),2))</f>
        <v>1.58</v>
      </c>
      <c r="J22" s="253" t="s">
        <v>44</v>
      </c>
    </row>
    <row r="23" spans="1:13" s="59" customFormat="1" ht="15" customHeight="1" x14ac:dyDescent="0.35">
      <c r="A23" s="76"/>
      <c r="B23" s="76"/>
      <c r="C23" s="91"/>
      <c r="D23" s="92"/>
      <c r="E23" s="92"/>
      <c r="G23" s="145"/>
      <c r="H23" s="146" t="s">
        <v>63</v>
      </c>
      <c r="I23" s="248">
        <f>SUM(I11:I22)</f>
        <v>0.98000000000000009</v>
      </c>
      <c r="J23" s="248">
        <f>SUM(J11:J22)</f>
        <v>0</v>
      </c>
    </row>
    <row r="24" spans="1:13" s="59" customFormat="1" ht="15" customHeight="1" x14ac:dyDescent="0.35">
      <c r="E24" s="268" t="s">
        <v>93</v>
      </c>
      <c r="F24" s="246">
        <f>ROUND(+H20*12/H8,2)</f>
        <v>-0.05</v>
      </c>
    </row>
    <row r="25" spans="1:13" s="59" customFormat="1" ht="15" customHeight="1" x14ac:dyDescent="0.35">
      <c r="A25" s="100"/>
      <c r="B25" s="100"/>
      <c r="C25" s="98"/>
      <c r="E25" s="76"/>
      <c r="F25" s="151"/>
      <c r="G25" s="152"/>
      <c r="H25" s="152"/>
      <c r="I25" s="153" t="s">
        <v>59</v>
      </c>
      <c r="J25" s="240">
        <f>IF(I23&lt;170,((J23*12/365)+I23)*0.1948+16.76, ((J23*12/365)+I23)*0.0648+38.86)</f>
        <v>16.950904000000001</v>
      </c>
    </row>
    <row r="26" spans="1:13" s="59" customFormat="1" ht="15" customHeight="1" x14ac:dyDescent="0.35">
      <c r="A26" s="76"/>
      <c r="B26" s="76"/>
      <c r="C26" s="76"/>
      <c r="D26" s="76"/>
      <c r="E26" s="76"/>
      <c r="F26" s="81"/>
      <c r="G26" s="30"/>
      <c r="H26" s="30" t="s">
        <v>170</v>
      </c>
      <c r="I26" s="147"/>
      <c r="J26" s="76"/>
      <c r="K26" s="76"/>
      <c r="L26" s="76"/>
      <c r="M26" s="76"/>
    </row>
    <row r="27" spans="1:13" s="59" customFormat="1" ht="15" hidden="1" customHeight="1" x14ac:dyDescent="0.35">
      <c r="A27" s="81"/>
      <c r="B27" s="81"/>
      <c r="C27" s="76"/>
      <c r="D27" s="78"/>
      <c r="E27" s="78"/>
      <c r="F27" s="78"/>
      <c r="H27" s="96"/>
      <c r="I27" s="89">
        <f>ROUND(ROUND(ROUND(ROUND(ROUND(ROUND(SUM(ROUND((((J23*12/365)+I23+J25)*1.0288),2))*1.008,2)*1.105,2)*1.0018,2)*1.08,2)*1.03,2)*1.021,2)</f>
        <v>23.39</v>
      </c>
      <c r="J27" s="81"/>
      <c r="K27" s="76"/>
      <c r="L27" s="76"/>
      <c r="M27" s="76"/>
    </row>
    <row r="28" spans="1:13" s="59" customFormat="1" ht="15" customHeight="1" x14ac:dyDescent="0.35">
      <c r="A28" s="81"/>
      <c r="B28" s="81"/>
      <c r="C28" s="76"/>
      <c r="D28" s="78"/>
      <c r="E28" s="78"/>
      <c r="F28" s="78"/>
      <c r="H28" s="96" t="s">
        <v>23</v>
      </c>
      <c r="I28" s="236">
        <f>ROUND(ROUND(ROUND(ROUND(ROUND(I27*1.0096,2)*1.005772,2)*'rate increase'!C2,2)*'rate increase'!C3,2)*'rate increase'!C6,2)</f>
        <v>29.59</v>
      </c>
      <c r="J28" s="81"/>
      <c r="K28" s="76"/>
      <c r="L28" s="76"/>
      <c r="M28" s="76"/>
    </row>
    <row r="29" spans="1:13" s="59" customFormat="1" ht="15" customHeight="1" x14ac:dyDescent="0.35">
      <c r="A29" s="148"/>
      <c r="B29" s="148"/>
      <c r="C29" s="76"/>
      <c r="D29" s="78"/>
      <c r="E29" s="78"/>
      <c r="F29" s="78"/>
      <c r="G29" s="105" t="s">
        <v>29</v>
      </c>
      <c r="H29" s="242">
        <f>G8</f>
        <v>0</v>
      </c>
      <c r="I29" s="241">
        <f>ROUND(((H8*I28)/(G7)-'Budget Plan '!B6),2)</f>
        <v>29.59</v>
      </c>
      <c r="J29" s="78"/>
      <c r="K29" s="76"/>
      <c r="L29" s="402"/>
      <c r="M29" s="76"/>
    </row>
    <row r="30" spans="1:13" s="59" customFormat="1" ht="15" customHeight="1" x14ac:dyDescent="0.35">
      <c r="A30" s="110"/>
      <c r="B30" s="110"/>
      <c r="C30" s="76"/>
      <c r="D30" s="78"/>
      <c r="E30" s="103"/>
      <c r="F30" s="150"/>
      <c r="H30" s="269" t="s">
        <v>30</v>
      </c>
      <c r="I30" s="248">
        <f>IF(I29=17.82,0,I29)</f>
        <v>29.59</v>
      </c>
      <c r="J30" s="86"/>
      <c r="K30" s="76"/>
      <c r="L30" s="76"/>
      <c r="M30" s="76"/>
    </row>
    <row r="31" spans="1:13" s="59" customFormat="1" ht="15" customHeight="1" x14ac:dyDescent="0.35">
      <c r="A31" s="111"/>
      <c r="B31" s="111"/>
      <c r="C31" s="102"/>
      <c r="E31" s="103"/>
      <c r="F31" s="38"/>
      <c r="I31" s="104" t="s">
        <v>12</v>
      </c>
      <c r="J31" s="243">
        <f>SUM(ROUND((I30)*G7/12,2))</f>
        <v>900.03</v>
      </c>
      <c r="K31" s="76"/>
      <c r="L31" s="76"/>
      <c r="M31" s="76"/>
    </row>
    <row r="32" spans="1:13" s="59" customFormat="1" ht="15" customHeight="1" x14ac:dyDescent="0.35">
      <c r="C32" s="102"/>
      <c r="E32" s="103"/>
      <c r="F32" s="38"/>
      <c r="I32" s="105" t="s">
        <v>24</v>
      </c>
      <c r="J32" s="270">
        <f>ROUND((I30*G7),2)</f>
        <v>10800.35</v>
      </c>
      <c r="K32" s="76"/>
      <c r="L32" s="76"/>
      <c r="M32" s="76"/>
    </row>
    <row r="33" spans="1:13" ht="15" customHeight="1" x14ac:dyDescent="0.3">
      <c r="A33" s="48"/>
      <c r="B33" s="17"/>
      <c r="C33" s="13"/>
      <c r="D33" s="49"/>
      <c r="E33" s="49"/>
      <c r="F33" s="50"/>
      <c r="G33" s="51"/>
      <c r="H33" s="52"/>
      <c r="I33" s="53"/>
      <c r="J33" s="54"/>
      <c r="K33" s="50"/>
      <c r="L33" s="10"/>
      <c r="M33" s="10"/>
    </row>
    <row r="34" spans="1:13" ht="15" customHeight="1" x14ac:dyDescent="0.25">
      <c r="A34" s="1" t="str">
        <f>'Budget Plan '!A24</f>
        <v>Revised 7/1/2023</v>
      </c>
      <c r="B34" s="27"/>
    </row>
    <row r="35" spans="1:13" ht="15" customHeight="1" x14ac:dyDescent="0.25">
      <c r="A35" s="4" t="s">
        <v>43</v>
      </c>
      <c r="B35" s="27"/>
    </row>
    <row r="36" spans="1:13" ht="15" customHeight="1" x14ac:dyDescent="0.25">
      <c r="A36" s="4" t="s">
        <v>6</v>
      </c>
      <c r="B36" s="4"/>
    </row>
    <row r="37" spans="1:13" ht="15" customHeight="1" x14ac:dyDescent="0.35">
      <c r="A37" s="70"/>
      <c r="B37" s="49"/>
      <c r="C37" s="49"/>
      <c r="D37" s="49"/>
      <c r="E37" s="49"/>
      <c r="F37" s="49"/>
      <c r="G37" s="49"/>
      <c r="H37" s="49"/>
      <c r="I37" s="49"/>
      <c r="J37" s="49"/>
      <c r="K37" s="49"/>
      <c r="L37" s="59"/>
      <c r="M37" s="10"/>
    </row>
    <row r="38" spans="1:13" ht="15" customHeight="1" x14ac:dyDescent="0.35">
      <c r="A38" s="115"/>
      <c r="B38" s="53"/>
      <c r="C38" s="53"/>
      <c r="D38" s="53"/>
      <c r="E38" s="53"/>
      <c r="F38" s="53"/>
      <c r="G38" s="53"/>
      <c r="H38" s="53"/>
      <c r="I38" s="53"/>
      <c r="J38" s="53"/>
      <c r="K38" s="53"/>
      <c r="L38" s="10"/>
    </row>
    <row r="39" spans="1:13" ht="15" customHeight="1" x14ac:dyDescent="0.3">
      <c r="A39" s="60"/>
      <c r="B39" s="60"/>
      <c r="C39" s="60"/>
      <c r="D39" s="61"/>
      <c r="E39" s="62"/>
      <c r="F39" s="62"/>
      <c r="G39" s="61"/>
      <c r="H39" s="61"/>
      <c r="I39" s="63"/>
      <c r="J39" s="64"/>
      <c r="K39" s="64"/>
      <c r="L39" s="10"/>
    </row>
    <row r="40" spans="1:13" ht="15" customHeight="1" x14ac:dyDescent="0.3">
      <c r="A40" s="60"/>
      <c r="B40" s="60"/>
      <c r="C40" s="60"/>
      <c r="D40" s="61"/>
      <c r="E40" s="62"/>
      <c r="F40" s="62"/>
      <c r="G40" s="61"/>
      <c r="H40" s="61"/>
      <c r="I40" s="65"/>
      <c r="J40" s="64"/>
      <c r="K40" s="64"/>
      <c r="L40" s="10"/>
    </row>
    <row r="41" spans="1:13" ht="15" customHeight="1" x14ac:dyDescent="0.3">
      <c r="A41" s="60"/>
      <c r="B41" s="60"/>
      <c r="C41" s="60"/>
      <c r="D41" s="61"/>
      <c r="E41" s="62"/>
      <c r="F41" s="62"/>
      <c r="G41" s="61"/>
      <c r="H41" s="61"/>
      <c r="I41" s="65"/>
      <c r="J41" s="64"/>
      <c r="K41" s="64"/>
      <c r="L41" s="10"/>
    </row>
    <row r="42" spans="1:13" ht="15" customHeight="1" x14ac:dyDescent="0.3">
      <c r="A42" s="60"/>
      <c r="B42" s="60"/>
      <c r="C42" s="60"/>
      <c r="D42" s="61"/>
      <c r="E42" s="62"/>
      <c r="F42" s="62"/>
      <c r="G42" s="61"/>
      <c r="H42" s="61"/>
      <c r="I42" s="65"/>
      <c r="J42" s="64"/>
      <c r="K42" s="64"/>
      <c r="L42" s="10"/>
    </row>
    <row r="43" spans="1:13" ht="15" customHeight="1" x14ac:dyDescent="0.3">
      <c r="A43" s="60"/>
      <c r="B43" s="60"/>
      <c r="C43" s="60"/>
      <c r="D43" s="61"/>
      <c r="E43" s="62"/>
      <c r="F43" s="62"/>
      <c r="G43" s="61"/>
      <c r="H43" s="61"/>
      <c r="I43" s="65"/>
      <c r="J43" s="64"/>
      <c r="K43" s="64"/>
      <c r="L43" s="10"/>
    </row>
    <row r="44" spans="1:13" ht="15" customHeight="1" x14ac:dyDescent="0.3">
      <c r="A44" s="60"/>
      <c r="B44" s="60"/>
      <c r="C44" s="60"/>
      <c r="D44" s="61"/>
      <c r="E44" s="62"/>
      <c r="F44" s="62"/>
      <c r="G44" s="61"/>
      <c r="H44" s="61"/>
      <c r="I44" s="65"/>
      <c r="J44" s="64"/>
      <c r="K44" s="64"/>
      <c r="L44" s="10"/>
    </row>
    <row r="45" spans="1:13" ht="15" customHeight="1" x14ac:dyDescent="0.3">
      <c r="A45" s="60"/>
      <c r="B45" s="60"/>
      <c r="C45" s="60"/>
      <c r="D45" s="61"/>
      <c r="E45" s="62"/>
      <c r="F45" s="62"/>
      <c r="G45" s="61"/>
      <c r="H45" s="61"/>
      <c r="I45" s="65"/>
      <c r="J45" s="64"/>
      <c r="K45" s="64"/>
      <c r="L45" s="10"/>
    </row>
    <row r="46" spans="1:13" ht="15" customHeight="1" x14ac:dyDescent="0.3">
      <c r="A46" s="60"/>
      <c r="B46" s="60"/>
      <c r="C46" s="60"/>
      <c r="D46" s="61"/>
      <c r="E46" s="62"/>
      <c r="F46" s="62"/>
      <c r="G46" s="61"/>
      <c r="H46" s="61"/>
      <c r="I46" s="65"/>
      <c r="J46" s="64"/>
      <c r="K46" s="64"/>
      <c r="L46" s="10"/>
    </row>
    <row r="47" spans="1:13" ht="15" customHeight="1" x14ac:dyDescent="0.3">
      <c r="A47" s="60"/>
      <c r="B47" s="60"/>
      <c r="C47" s="60"/>
      <c r="D47" s="61"/>
      <c r="E47" s="62"/>
      <c r="F47" s="62"/>
      <c r="G47" s="61"/>
      <c r="H47" s="61"/>
      <c r="I47" s="65"/>
      <c r="J47" s="64"/>
      <c r="K47" s="64"/>
      <c r="L47" s="10"/>
    </row>
    <row r="48" spans="1:13" ht="15" customHeight="1" x14ac:dyDescent="0.3">
      <c r="A48" s="60"/>
      <c r="B48" s="60"/>
      <c r="C48" s="60"/>
      <c r="D48" s="61"/>
      <c r="E48" s="62"/>
      <c r="F48" s="62"/>
      <c r="G48" s="61"/>
      <c r="H48" s="61"/>
      <c r="I48" s="65"/>
      <c r="J48" s="64"/>
      <c r="K48" s="64"/>
      <c r="L48" s="10"/>
    </row>
    <row r="49" spans="1:13" ht="15" customHeight="1" x14ac:dyDescent="0.3">
      <c r="A49" s="60"/>
      <c r="B49" s="60"/>
      <c r="C49" s="60"/>
      <c r="D49" s="61"/>
      <c r="E49" s="62"/>
      <c r="F49" s="62"/>
      <c r="G49" s="61"/>
      <c r="H49" s="61"/>
      <c r="I49" s="63"/>
      <c r="J49" s="64"/>
      <c r="K49" s="64"/>
      <c r="L49" s="10"/>
    </row>
    <row r="50" spans="1:13" ht="15" customHeight="1" x14ac:dyDescent="0.3">
      <c r="A50" s="49"/>
      <c r="B50" s="49"/>
      <c r="C50" s="49"/>
      <c r="D50" s="49"/>
      <c r="E50" s="49"/>
      <c r="F50" s="49"/>
      <c r="G50" s="49"/>
      <c r="H50" s="49"/>
      <c r="I50" s="49"/>
      <c r="J50" s="49"/>
      <c r="K50" s="49"/>
      <c r="M50" s="10"/>
    </row>
    <row r="51" spans="1:13" ht="15" customHeight="1" x14ac:dyDescent="0.25">
      <c r="A51" s="47"/>
      <c r="B51" s="47"/>
      <c r="C51" s="47"/>
      <c r="D51" s="39"/>
      <c r="E51" s="47"/>
      <c r="F51" s="47"/>
      <c r="G51" s="47"/>
      <c r="H51" s="39"/>
      <c r="I51" s="47"/>
      <c r="J51" s="47"/>
      <c r="K51" s="47"/>
      <c r="M51" s="10"/>
    </row>
    <row r="52" spans="1:13" ht="15" customHeight="1" x14ac:dyDescent="0.25">
      <c r="A52" s="66"/>
      <c r="B52" s="431"/>
      <c r="C52" s="431"/>
      <c r="D52" s="67"/>
      <c r="E52" s="7"/>
      <c r="F52" s="431"/>
      <c r="G52" s="431"/>
      <c r="H52" s="67"/>
      <c r="I52" s="7"/>
      <c r="J52" s="431"/>
      <c r="K52" s="431"/>
      <c r="L52" s="68"/>
      <c r="M52" s="10"/>
    </row>
    <row r="53" spans="1:13" ht="15" customHeight="1" x14ac:dyDescent="0.25">
      <c r="A53" s="66"/>
      <c r="B53" s="66"/>
      <c r="C53" s="69"/>
      <c r="D53" s="67"/>
      <c r="E53" s="7"/>
      <c r="F53" s="7"/>
      <c r="G53" s="69"/>
      <c r="H53" s="67"/>
      <c r="I53" s="7"/>
      <c r="J53" s="39"/>
      <c r="K53" s="69"/>
      <c r="L53" s="68"/>
      <c r="M53" s="10"/>
    </row>
    <row r="54" spans="1:13" ht="15" customHeight="1" x14ac:dyDescent="0.25">
      <c r="A54" s="47"/>
      <c r="B54" s="47"/>
      <c r="C54" s="47"/>
      <c r="D54" s="67"/>
      <c r="E54" s="7"/>
      <c r="F54" s="7"/>
      <c r="G54" s="69"/>
      <c r="H54" s="67"/>
      <c r="I54" s="7"/>
      <c r="J54" s="39"/>
      <c r="K54" s="69"/>
      <c r="L54" s="68"/>
      <c r="M54" s="10"/>
    </row>
    <row r="55" spans="1:13" ht="15" customHeight="1" x14ac:dyDescent="0.25">
      <c r="A55" s="45"/>
      <c r="B55" s="429"/>
      <c r="C55" s="429"/>
      <c r="D55" s="68"/>
      <c r="E55" s="68"/>
      <c r="F55" s="68"/>
      <c r="G55" s="68"/>
      <c r="H55" s="68"/>
      <c r="I55" s="68"/>
      <c r="J55" s="68"/>
      <c r="K55" s="40"/>
      <c r="L55" s="40"/>
      <c r="M55" s="10"/>
    </row>
    <row r="56" spans="1:13" ht="15" customHeight="1" x14ac:dyDescent="0.25">
      <c r="A56" s="45"/>
      <c r="B56" s="45"/>
      <c r="C56" s="68"/>
      <c r="D56" s="68"/>
      <c r="E56" s="68"/>
      <c r="F56" s="68"/>
      <c r="G56" s="68"/>
      <c r="H56" s="68"/>
      <c r="I56" s="68"/>
      <c r="J56" s="68"/>
      <c r="K56" s="40"/>
      <c r="L56" s="40"/>
      <c r="M56" s="10"/>
    </row>
    <row r="57" spans="1:13" ht="15" customHeight="1" x14ac:dyDescent="0.25">
      <c r="B57" s="70"/>
      <c r="K57" s="10"/>
      <c r="L57" s="10"/>
      <c r="M57" s="10"/>
    </row>
    <row r="58" spans="1:13" ht="15" customHeight="1" x14ac:dyDescent="0.25">
      <c r="K58" s="10"/>
      <c r="L58" s="10"/>
      <c r="M58" s="10"/>
    </row>
    <row r="59" spans="1:13" ht="15" customHeight="1" x14ac:dyDescent="0.25">
      <c r="K59" s="10"/>
      <c r="L59" s="10"/>
      <c r="M59" s="10"/>
    </row>
    <row r="60" spans="1:13" ht="15" customHeight="1" x14ac:dyDescent="0.25">
      <c r="K60" s="10"/>
      <c r="L60" s="10"/>
      <c r="M60" s="10"/>
    </row>
    <row r="61" spans="1:13" ht="15" customHeight="1" x14ac:dyDescent="0.25">
      <c r="K61" s="10"/>
      <c r="L61" s="10"/>
      <c r="M61" s="10"/>
    </row>
    <row r="62" spans="1:13" ht="15" customHeight="1" x14ac:dyDescent="0.25">
      <c r="K62" s="10"/>
      <c r="L62" s="10"/>
      <c r="M62" s="10"/>
    </row>
    <row r="63" spans="1:13" ht="15" customHeight="1" x14ac:dyDescent="0.25">
      <c r="K63" s="10"/>
      <c r="L63" s="10"/>
      <c r="M63" s="10"/>
    </row>
    <row r="64" spans="1:13" ht="15" customHeight="1" x14ac:dyDescent="0.25">
      <c r="K64" s="10"/>
      <c r="L64" s="10"/>
      <c r="M64" s="10"/>
    </row>
    <row r="65" spans="1:13" ht="15" customHeight="1" x14ac:dyDescent="0.25">
      <c r="K65" s="10"/>
      <c r="L65" s="10"/>
      <c r="M65" s="10"/>
    </row>
    <row r="66" spans="1:13" ht="15" customHeight="1" x14ac:dyDescent="0.25">
      <c r="K66" s="10"/>
      <c r="L66" s="10"/>
      <c r="M66" s="10"/>
    </row>
    <row r="67" spans="1:13" ht="15" customHeight="1" x14ac:dyDescent="0.25">
      <c r="K67" s="10"/>
      <c r="L67" s="10"/>
      <c r="M67" s="10"/>
    </row>
    <row r="68" spans="1:13" ht="15" customHeight="1" x14ac:dyDescent="0.25">
      <c r="K68" s="10"/>
      <c r="L68" s="10"/>
      <c r="M68" s="10"/>
    </row>
    <row r="69" spans="1:13" ht="15" customHeight="1" x14ac:dyDescent="0.25">
      <c r="K69" s="10"/>
      <c r="L69" s="10"/>
      <c r="M69" s="10"/>
    </row>
    <row r="70" spans="1:13" ht="15" customHeight="1" x14ac:dyDescent="0.25">
      <c r="A70" s="71"/>
      <c r="B70" s="71"/>
      <c r="C70" s="72"/>
      <c r="D70" s="73"/>
      <c r="E70" s="42"/>
      <c r="F70" s="41"/>
      <c r="G70" s="41"/>
      <c r="H70" s="41"/>
      <c r="I70" s="46"/>
      <c r="J70" s="41"/>
      <c r="K70" s="10"/>
      <c r="L70" s="10"/>
      <c r="M70" s="10"/>
    </row>
    <row r="71" spans="1:13" ht="15" customHeight="1" x14ac:dyDescent="0.25">
      <c r="A71" s="71"/>
      <c r="B71" s="71"/>
      <c r="C71" s="46"/>
      <c r="D71" s="41"/>
      <c r="E71" s="42"/>
      <c r="F71" s="41"/>
      <c r="G71" s="41"/>
      <c r="H71" s="41"/>
      <c r="I71" s="46"/>
      <c r="J71" s="41"/>
      <c r="K71" s="10"/>
      <c r="L71" s="10"/>
      <c r="M71" s="10"/>
    </row>
    <row r="72" spans="1:13" ht="15" customHeight="1" x14ac:dyDescent="0.25">
      <c r="A72" s="42"/>
      <c r="B72" s="42"/>
      <c r="C72" s="46"/>
      <c r="D72" s="41"/>
      <c r="E72" s="42"/>
      <c r="F72" s="41"/>
      <c r="G72" s="41"/>
      <c r="H72" s="41"/>
      <c r="I72" s="46"/>
      <c r="J72" s="41"/>
      <c r="K72" s="10"/>
      <c r="L72" s="10"/>
      <c r="M72" s="10"/>
    </row>
    <row r="73" spans="1:13" ht="15" customHeight="1" x14ac:dyDescent="0.25">
      <c r="A73" s="42"/>
      <c r="B73" s="42"/>
      <c r="C73" s="46"/>
      <c r="D73" s="74"/>
      <c r="E73" s="42"/>
      <c r="F73" s="41"/>
      <c r="G73" s="41"/>
      <c r="H73" s="41"/>
      <c r="I73" s="46"/>
      <c r="J73" s="41"/>
      <c r="K73" s="10"/>
      <c r="L73" s="10"/>
      <c r="M73" s="10"/>
    </row>
    <row r="74" spans="1:13" ht="15" customHeight="1" x14ac:dyDescent="0.25">
      <c r="C74" s="46"/>
      <c r="D74" s="41"/>
      <c r="E74" s="73"/>
      <c r="F74" s="73"/>
      <c r="G74" s="44"/>
      <c r="H74" s="44"/>
      <c r="I74" s="46"/>
      <c r="J74" s="41"/>
      <c r="K74" s="75"/>
      <c r="L74" s="10"/>
      <c r="M74" s="10"/>
    </row>
    <row r="75" spans="1:13" ht="15" customHeight="1" x14ac:dyDescent="0.25">
      <c r="D75" s="41"/>
      <c r="E75" s="41"/>
      <c r="F75" s="41"/>
      <c r="G75" s="41"/>
      <c r="H75" s="41"/>
      <c r="I75" s="46"/>
      <c r="J75" s="41"/>
      <c r="K75" s="10"/>
      <c r="L75" s="10"/>
      <c r="M75" s="10"/>
    </row>
    <row r="76" spans="1:13" ht="15" customHeight="1" x14ac:dyDescent="0.25">
      <c r="A76" s="42"/>
      <c r="B76" s="42"/>
      <c r="C76" s="46"/>
      <c r="D76" s="41"/>
      <c r="E76" s="73"/>
      <c r="F76" s="40"/>
      <c r="G76" s="41"/>
      <c r="H76" s="41"/>
      <c r="I76" s="46"/>
      <c r="J76" s="41"/>
      <c r="K76" s="10"/>
      <c r="L76" s="10"/>
      <c r="M76" s="10"/>
    </row>
    <row r="77" spans="1:13" ht="15" customHeight="1" x14ac:dyDescent="0.25">
      <c r="A77" s="44"/>
      <c r="B77" s="44"/>
      <c r="C77" s="46"/>
      <c r="D77" s="41"/>
      <c r="E77" s="40"/>
      <c r="F77" s="41"/>
      <c r="G77" s="41"/>
      <c r="H77" s="41"/>
      <c r="I77" s="46"/>
      <c r="J77" s="41"/>
      <c r="K77" s="10"/>
      <c r="L77" s="10"/>
      <c r="M77" s="10"/>
    </row>
    <row r="78" spans="1:13" ht="15" customHeight="1" x14ac:dyDescent="0.25">
      <c r="A78" s="73"/>
      <c r="B78" s="73"/>
      <c r="C78" s="41"/>
      <c r="D78" s="41"/>
      <c r="E78" s="73"/>
      <c r="F78" s="73"/>
      <c r="G78" s="73"/>
      <c r="H78" s="73"/>
      <c r="I78" s="73"/>
      <c r="J78" s="73"/>
      <c r="K78" s="10"/>
      <c r="L78" s="10"/>
      <c r="M78" s="10"/>
    </row>
    <row r="79" spans="1:13" ht="15" customHeight="1" x14ac:dyDescent="0.25">
      <c r="A79" s="10"/>
      <c r="B79" s="10"/>
      <c r="D79" s="10"/>
      <c r="J79" s="10"/>
      <c r="K79" s="10"/>
      <c r="L79" s="10"/>
      <c r="M79" s="10"/>
    </row>
    <row r="80" spans="1:13" ht="15" customHeight="1" x14ac:dyDescent="0.25">
      <c r="A80" s="10"/>
      <c r="B80" s="10"/>
      <c r="C80" s="10"/>
      <c r="D80" s="10"/>
      <c r="J80" s="10"/>
      <c r="K80" s="10"/>
      <c r="L80" s="10"/>
      <c r="M80" s="10"/>
    </row>
    <row r="81" spans="1:13" ht="15" customHeight="1" x14ac:dyDescent="0.25">
      <c r="A81" s="10"/>
      <c r="B81" s="10"/>
      <c r="D81" s="10"/>
      <c r="J81" s="10"/>
      <c r="K81" s="10"/>
      <c r="L81" s="10"/>
      <c r="M81" s="10"/>
    </row>
    <row r="82" spans="1:13" ht="15" customHeight="1" x14ac:dyDescent="0.25">
      <c r="A82" s="10"/>
      <c r="B82" s="10"/>
      <c r="C82" s="10"/>
      <c r="D82" s="10"/>
      <c r="E82" s="10"/>
      <c r="F82" s="10"/>
      <c r="G82" s="10"/>
      <c r="H82" s="10"/>
      <c r="I82" s="10"/>
      <c r="J82" s="10"/>
      <c r="K82" s="10"/>
      <c r="L82" s="10"/>
      <c r="M82" s="10"/>
    </row>
    <row r="83" spans="1:13" ht="15" customHeight="1" x14ac:dyDescent="0.25">
      <c r="A83" s="10"/>
      <c r="B83" s="10"/>
      <c r="C83" s="10"/>
      <c r="D83" s="10"/>
      <c r="E83" s="10"/>
      <c r="F83" s="10"/>
      <c r="G83" s="10"/>
      <c r="H83" s="10"/>
      <c r="I83" s="10"/>
      <c r="J83" s="10"/>
      <c r="K83" s="10"/>
      <c r="L83" s="10"/>
      <c r="M83" s="10"/>
    </row>
    <row r="84" spans="1:13" ht="15" customHeight="1" x14ac:dyDescent="0.25">
      <c r="A84" s="10"/>
      <c r="B84" s="10"/>
      <c r="C84" s="10"/>
      <c r="D84" s="10"/>
      <c r="E84" s="10"/>
      <c r="F84" s="10"/>
      <c r="G84" s="10"/>
      <c r="H84" s="10"/>
      <c r="I84" s="10"/>
      <c r="J84" s="10"/>
      <c r="K84" s="10"/>
      <c r="L84" s="10"/>
      <c r="M84" s="10"/>
    </row>
    <row r="85" spans="1:13" ht="15" customHeight="1" x14ac:dyDescent="0.25">
      <c r="A85" s="10"/>
      <c r="B85" s="10"/>
      <c r="C85" s="10"/>
      <c r="D85" s="10"/>
      <c r="E85" s="10"/>
      <c r="F85" s="10"/>
      <c r="G85" s="10"/>
      <c r="H85" s="10"/>
      <c r="I85" s="10"/>
      <c r="J85" s="10"/>
      <c r="K85" s="10"/>
      <c r="L85" s="10"/>
      <c r="M85" s="10"/>
    </row>
    <row r="86" spans="1:13" ht="15" customHeight="1" x14ac:dyDescent="0.25">
      <c r="A86" s="10"/>
      <c r="B86" s="10"/>
      <c r="C86" s="10"/>
      <c r="D86" s="10"/>
      <c r="E86" s="10"/>
      <c r="F86" s="10"/>
      <c r="G86" s="10"/>
      <c r="H86" s="10"/>
      <c r="I86" s="10"/>
      <c r="J86" s="10"/>
      <c r="K86" s="10"/>
      <c r="L86" s="10"/>
      <c r="M86" s="10"/>
    </row>
    <row r="87" spans="1:13" ht="15" customHeight="1" x14ac:dyDescent="0.25">
      <c r="A87" s="10"/>
      <c r="B87" s="10"/>
      <c r="C87" s="10"/>
      <c r="D87" s="10"/>
      <c r="E87" s="10"/>
      <c r="F87" s="10"/>
      <c r="G87" s="10"/>
      <c r="H87" s="10"/>
      <c r="I87" s="10"/>
      <c r="J87" s="10"/>
      <c r="K87" s="10"/>
      <c r="L87" s="10"/>
      <c r="M87" s="10"/>
    </row>
    <row r="88" spans="1:13" ht="15" customHeight="1" x14ac:dyDescent="0.25">
      <c r="A88" s="10"/>
      <c r="B88" s="10"/>
      <c r="C88" s="10"/>
      <c r="D88" s="10"/>
      <c r="E88" s="10"/>
      <c r="F88" s="10"/>
      <c r="G88" s="10"/>
      <c r="H88" s="10"/>
      <c r="I88" s="10"/>
      <c r="J88" s="10"/>
      <c r="K88" s="10"/>
      <c r="L88" s="10"/>
      <c r="M88" s="10"/>
    </row>
    <row r="89" spans="1:13" ht="15" customHeight="1" x14ac:dyDescent="0.25">
      <c r="A89" s="10"/>
      <c r="B89" s="10"/>
      <c r="C89" s="10"/>
      <c r="D89" s="10"/>
      <c r="E89" s="10"/>
      <c r="F89" s="10"/>
      <c r="G89" s="10"/>
      <c r="H89" s="10"/>
      <c r="I89" s="10"/>
      <c r="J89" s="10"/>
      <c r="K89" s="10"/>
      <c r="L89" s="10"/>
      <c r="M89" s="10"/>
    </row>
    <row r="90" spans="1:13" ht="15" customHeight="1" x14ac:dyDescent="0.25">
      <c r="A90" s="10"/>
      <c r="B90" s="10"/>
      <c r="C90" s="10"/>
      <c r="D90" s="10"/>
      <c r="E90" s="10"/>
      <c r="F90" s="10"/>
      <c r="G90" s="10"/>
      <c r="H90" s="10"/>
      <c r="I90" s="10"/>
      <c r="J90" s="10"/>
      <c r="K90" s="10"/>
      <c r="L90" s="10"/>
      <c r="M90" s="10"/>
    </row>
    <row r="91" spans="1:13" ht="15" customHeight="1" x14ac:dyDescent="0.25">
      <c r="A91" s="10"/>
      <c r="B91" s="10"/>
      <c r="C91" s="10"/>
      <c r="D91" s="10"/>
      <c r="E91" s="10"/>
      <c r="F91" s="10"/>
      <c r="G91" s="10"/>
      <c r="H91" s="10"/>
      <c r="I91" s="10"/>
      <c r="J91" s="10"/>
      <c r="K91" s="10"/>
      <c r="L91" s="10"/>
      <c r="M91" s="10"/>
    </row>
  </sheetData>
  <sheetProtection algorithmName="SHA-512" hashValue="7OUy+WYyTHPQRIqPx/y//JZPpESYwU4MvPmekoPk2KTVWSc7EoGOo6MWPAYgFmC+G+eELNAJCxYKL0UkrzhmPg==" saltValue="ey3WU+1znZV/eS+HNBa9nw==" spinCount="100000" sheet="1" selectLockedCells="1"/>
  <mergeCells count="8">
    <mergeCell ref="A1:J1"/>
    <mergeCell ref="A2:J2"/>
    <mergeCell ref="D7:F7"/>
    <mergeCell ref="B55:C55"/>
    <mergeCell ref="D8:F8"/>
    <mergeCell ref="J52:K52"/>
    <mergeCell ref="F52:G52"/>
    <mergeCell ref="B52:C52"/>
  </mergeCells>
  <phoneticPr fontId="2" type="noConversion"/>
  <printOptions horizontalCentered="1" gridLinesSet="0"/>
  <pageMargins left="0.25" right="0.26" top="0.25" bottom="0.25" header="0.18" footer="0.25"/>
  <pageSetup scale="8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5">
    <pageSetUpPr fitToPage="1"/>
  </sheetPr>
  <dimension ref="A1:M79"/>
  <sheetViews>
    <sheetView showGridLines="0" zoomScaleNormal="100" workbookViewId="0">
      <selection activeCell="E25" sqref="E25"/>
    </sheetView>
  </sheetViews>
  <sheetFormatPr defaultColWidth="10" defaultRowHeight="8.25" x14ac:dyDescent="0.15"/>
  <cols>
    <col min="1" max="1" width="23.59765625" style="28" customWidth="1"/>
    <col min="2" max="2" width="17" style="28" customWidth="1"/>
    <col min="3" max="3" width="31.59765625" style="28" customWidth="1"/>
    <col min="4" max="4" width="23.19921875" style="28" hidden="1" customWidth="1"/>
    <col min="5" max="5" width="30.59765625" style="28" customWidth="1"/>
    <col min="6" max="6" width="24.3984375" style="28" customWidth="1"/>
    <col min="7" max="7" width="17" style="28" customWidth="1"/>
    <col min="8" max="8" width="17.59765625" style="28" customWidth="1"/>
    <col min="9" max="9" width="17.19921875" style="28" customWidth="1"/>
    <col min="10" max="10" width="28.59765625" style="28" customWidth="1"/>
    <col min="11" max="11" width="20.796875" style="28" customWidth="1"/>
    <col min="12" max="12" width="16.3984375" style="28" customWidth="1"/>
    <col min="13" max="207" width="10" style="28"/>
    <col min="208" max="208" width="2" style="28" customWidth="1"/>
    <col min="209" max="16384" width="10" style="28"/>
  </cols>
  <sheetData>
    <row r="1" spans="1:11" ht="22.5" x14ac:dyDescent="0.45">
      <c r="A1" s="426" t="s">
        <v>82</v>
      </c>
      <c r="B1" s="426"/>
      <c r="C1" s="426"/>
      <c r="D1" s="426"/>
      <c r="E1" s="426"/>
      <c r="F1" s="426"/>
      <c r="G1" s="426"/>
      <c r="H1" s="426"/>
      <c r="I1" s="426"/>
      <c r="J1" s="426"/>
      <c r="K1" s="299"/>
    </row>
    <row r="2" spans="1:11" ht="16.5" customHeight="1" x14ac:dyDescent="0.35">
      <c r="A2" s="427" t="str">
        <f>'Budget Plan '!A2:I2</f>
        <v>FY2024</v>
      </c>
      <c r="B2" s="427"/>
      <c r="C2" s="427"/>
      <c r="D2" s="427"/>
      <c r="E2" s="427"/>
      <c r="F2" s="427"/>
      <c r="G2" s="427"/>
      <c r="H2" s="427"/>
      <c r="I2" s="427"/>
      <c r="J2" s="427"/>
      <c r="K2" s="299"/>
    </row>
    <row r="3" spans="1:11" ht="18" customHeight="1" x14ac:dyDescent="0.35">
      <c r="A3" s="29" t="s">
        <v>42</v>
      </c>
      <c r="B3" s="30"/>
      <c r="C3" s="59"/>
      <c r="E3" s="29" t="s">
        <v>18</v>
      </c>
      <c r="F3" s="76"/>
      <c r="G3" s="157" t="s">
        <v>103</v>
      </c>
      <c r="H3" s="120"/>
      <c r="I3" s="408" t="s">
        <v>104</v>
      </c>
      <c r="J3" s="157" t="s">
        <v>239</v>
      </c>
    </row>
    <row r="4" spans="1:11" ht="18" customHeight="1" x14ac:dyDescent="0.35">
      <c r="A4" s="32">
        <f>'Budget Plan '!A4</f>
        <v>0</v>
      </c>
      <c r="B4" s="80"/>
      <c r="C4" s="76"/>
      <c r="E4" s="34">
        <f>'Budget Plan '!C4</f>
        <v>0</v>
      </c>
      <c r="F4" s="76"/>
      <c r="G4" s="35">
        <f>'Budget Plan '!F4</f>
        <v>0</v>
      </c>
      <c r="H4" s="38"/>
      <c r="I4" s="36">
        <f>'Budget Plan '!H4</f>
        <v>0</v>
      </c>
      <c r="J4" s="411">
        <f>IF('Budget Plan '!B6&lt;0,"  ",'Budget Plan '!B6)</f>
        <v>0</v>
      </c>
    </row>
    <row r="5" spans="1:11" ht="15.75" customHeight="1" x14ac:dyDescent="0.35">
      <c r="I5" s="38"/>
      <c r="J5" s="120"/>
    </row>
    <row r="6" spans="1:11" ht="16.5" x14ac:dyDescent="0.35">
      <c r="A6" s="32" t="s">
        <v>180</v>
      </c>
      <c r="B6" s="301"/>
      <c r="C6" s="59"/>
      <c r="D6" s="30"/>
      <c r="E6" s="30"/>
      <c r="F6" s="30"/>
      <c r="G6" s="30"/>
      <c r="H6" s="122" t="s">
        <v>16</v>
      </c>
      <c r="I6" s="122" t="s">
        <v>17</v>
      </c>
      <c r="J6" s="30"/>
      <c r="K6" s="5"/>
    </row>
    <row r="7" spans="1:11" ht="16.5" x14ac:dyDescent="0.35">
      <c r="A7" s="32" t="s">
        <v>19</v>
      </c>
      <c r="B7" s="32"/>
      <c r="C7" s="59"/>
      <c r="D7" s="122" t="s">
        <v>11</v>
      </c>
      <c r="E7" s="122" t="s">
        <v>9</v>
      </c>
      <c r="F7" s="122" t="s">
        <v>10</v>
      </c>
      <c r="G7" s="124" t="s">
        <v>4</v>
      </c>
      <c r="H7" s="122" t="s">
        <v>13</v>
      </c>
      <c r="I7" s="122" t="s">
        <v>14</v>
      </c>
      <c r="J7" s="122" t="s">
        <v>15</v>
      </c>
      <c r="K7" s="5"/>
    </row>
    <row r="8" spans="1:11" ht="16.5" x14ac:dyDescent="0.35">
      <c r="A8" s="138" t="s">
        <v>176</v>
      </c>
      <c r="B8" s="139"/>
      <c r="C8" s="131"/>
      <c r="D8" s="170">
        <v>13.06</v>
      </c>
      <c r="E8" s="282"/>
      <c r="F8" s="277"/>
      <c r="G8" s="278">
        <v>1</v>
      </c>
      <c r="H8" s="235">
        <f>ROUND(((E8*(365/12))/(G8))+(((F8))/(G8)),1)</f>
        <v>0</v>
      </c>
      <c r="I8" s="236">
        <f>ROUND((D8*E8)/(G8),2)</f>
        <v>0</v>
      </c>
      <c r="J8" s="236">
        <f>ROUND((D8*F8)/(G8),2)</f>
        <v>0</v>
      </c>
      <c r="K8" s="5"/>
    </row>
    <row r="9" spans="1:11" ht="16.5" x14ac:dyDescent="0.35">
      <c r="A9" s="133" t="s">
        <v>175</v>
      </c>
      <c r="B9" s="134"/>
      <c r="C9" s="135"/>
      <c r="D9" s="170">
        <v>13.06</v>
      </c>
      <c r="E9" s="282"/>
      <c r="F9" s="277"/>
      <c r="G9" s="278">
        <v>5</v>
      </c>
      <c r="H9" s="235">
        <f>ROUND(((E9*(365/12))/(G9))+(((F9))/(G9)),1)</f>
        <v>0</v>
      </c>
      <c r="I9" s="236">
        <f>ROUND((D9*E9)/(G9),2)</f>
        <v>0</v>
      </c>
      <c r="J9" s="236">
        <f>ROUND((D9*F9)/(G9),2)</f>
        <v>0</v>
      </c>
      <c r="K9" s="5"/>
    </row>
    <row r="10" spans="1:11" ht="17.25" hidden="1" thickBot="1" x14ac:dyDescent="0.4">
      <c r="A10" s="171"/>
      <c r="B10" s="172"/>
      <c r="C10" s="173"/>
      <c r="D10" s="174"/>
      <c r="E10" s="175"/>
      <c r="F10" s="176"/>
      <c r="G10" s="177"/>
      <c r="H10" s="207"/>
      <c r="I10" s="178"/>
      <c r="J10" s="179"/>
      <c r="K10" s="5"/>
    </row>
    <row r="11" spans="1:11" ht="17.25" hidden="1" thickBot="1" x14ac:dyDescent="0.4">
      <c r="A11" s="138" t="s">
        <v>38</v>
      </c>
      <c r="B11" s="139"/>
      <c r="C11" s="131"/>
      <c r="D11" s="180" t="e">
        <f>12.087*'Budget Plan '!#REF!</f>
        <v>#REF!</v>
      </c>
      <c r="E11" s="181"/>
      <c r="F11" s="182" t="s">
        <v>0</v>
      </c>
      <c r="G11" s="183">
        <v>1</v>
      </c>
      <c r="H11" s="184">
        <f>ROUND((((E11/G11)))*4.33,1)</f>
        <v>0</v>
      </c>
      <c r="I11" s="208" t="e">
        <f>ROUND(((D11*E11)/(G11))/(7),2)</f>
        <v>#REF!</v>
      </c>
      <c r="J11" s="209" t="s">
        <v>44</v>
      </c>
      <c r="K11" s="5"/>
    </row>
    <row r="12" spans="1:11" ht="16.5" x14ac:dyDescent="0.35">
      <c r="A12" s="130"/>
      <c r="B12" s="130"/>
      <c r="C12" s="91"/>
      <c r="D12" s="92"/>
      <c r="E12" s="92"/>
      <c r="F12" s="59"/>
      <c r="G12" s="93"/>
      <c r="H12" s="145" t="s">
        <v>49</v>
      </c>
      <c r="I12" s="248">
        <f>SUM(I8:I9)</f>
        <v>0</v>
      </c>
      <c r="J12" s="248">
        <f>SUM(J8:J11)</f>
        <v>0</v>
      </c>
      <c r="K12" s="5"/>
    </row>
    <row r="13" spans="1:11" ht="16.5" x14ac:dyDescent="0.35">
      <c r="A13" s="59"/>
      <c r="B13" s="59"/>
      <c r="C13" s="59"/>
      <c r="D13" s="59"/>
      <c r="E13" s="59"/>
      <c r="F13" s="59"/>
      <c r="G13" s="59"/>
      <c r="H13" s="59"/>
      <c r="I13" s="59"/>
      <c r="J13" s="59"/>
      <c r="K13" s="5"/>
    </row>
    <row r="14" spans="1:11" ht="16.5" x14ac:dyDescent="0.35">
      <c r="A14" s="185" t="s">
        <v>178</v>
      </c>
      <c r="B14" s="186"/>
      <c r="C14" s="155"/>
      <c r="E14" s="295">
        <f>12.95%</f>
        <v>0.1295</v>
      </c>
      <c r="F14" s="59"/>
      <c r="G14" s="30"/>
      <c r="H14" s="59"/>
      <c r="I14" s="187" t="s">
        <v>46</v>
      </c>
      <c r="J14" s="240">
        <f>ROUND(((I12+J22+J25+(J12/(365/12)))*E14),2)</f>
        <v>0</v>
      </c>
      <c r="K14" s="30"/>
    </row>
    <row r="15" spans="1:11" ht="16.5" x14ac:dyDescent="0.35">
      <c r="A15" s="76"/>
      <c r="B15" s="76"/>
      <c r="C15" s="98"/>
      <c r="E15" s="99"/>
      <c r="F15" s="59"/>
      <c r="G15" s="30"/>
      <c r="H15" s="59"/>
      <c r="I15" s="188"/>
      <c r="J15" s="30"/>
      <c r="K15" s="30"/>
    </row>
    <row r="16" spans="1:11" ht="16.5" x14ac:dyDescent="0.35">
      <c r="A16" s="76"/>
      <c r="B16" s="76"/>
      <c r="C16" s="98"/>
      <c r="E16" s="99"/>
      <c r="F16" s="59"/>
      <c r="G16" s="210"/>
      <c r="H16" s="211"/>
      <c r="I16" s="212" t="s">
        <v>32</v>
      </c>
      <c r="J16" s="246">
        <f>SUM(H8:H11)</f>
        <v>0</v>
      </c>
      <c r="K16" s="131"/>
    </row>
    <row r="17" spans="1:13" ht="16.5" x14ac:dyDescent="0.35">
      <c r="A17" s="100"/>
      <c r="B17" s="100"/>
      <c r="C17" s="98"/>
      <c r="E17" s="59"/>
      <c r="F17" s="76"/>
      <c r="G17" s="213"/>
      <c r="H17" s="99"/>
      <c r="I17" s="78"/>
      <c r="J17" s="189" t="s">
        <v>47</v>
      </c>
      <c r="K17" s="240">
        <f>ROUND(((I12+J14)+((J12*12)/365)),2)</f>
        <v>0</v>
      </c>
    </row>
    <row r="18" spans="1:13" ht="16.5" x14ac:dyDescent="0.35">
      <c r="A18" s="100"/>
      <c r="B18" s="100"/>
      <c r="C18" s="98"/>
      <c r="E18" s="59"/>
      <c r="F18" s="76"/>
      <c r="G18" s="291"/>
      <c r="H18" s="292"/>
      <c r="I18" s="293" t="s">
        <v>64</v>
      </c>
      <c r="J18" s="246">
        <f>ROUND(J16/30.4,2)</f>
        <v>0</v>
      </c>
      <c r="K18" s="214"/>
    </row>
    <row r="19" spans="1:13" ht="16.5" x14ac:dyDescent="0.35">
      <c r="A19" s="32" t="s">
        <v>55</v>
      </c>
      <c r="B19" s="100"/>
      <c r="C19" s="98"/>
      <c r="E19" s="59"/>
      <c r="F19" s="76"/>
      <c r="G19" s="78"/>
      <c r="H19" s="99"/>
      <c r="I19" s="99"/>
      <c r="J19" s="190"/>
      <c r="K19" s="59"/>
    </row>
    <row r="20" spans="1:13" ht="16.5" hidden="1" customHeight="1" x14ac:dyDescent="0.35">
      <c r="A20" s="59"/>
      <c r="B20" s="59"/>
      <c r="C20" s="98"/>
      <c r="E20" s="59"/>
      <c r="F20" s="76"/>
      <c r="G20" s="99"/>
      <c r="H20" s="99"/>
      <c r="I20" s="99"/>
      <c r="J20" s="147"/>
      <c r="K20" s="81"/>
    </row>
    <row r="21" spans="1:13" ht="16.5" hidden="1" customHeight="1" x14ac:dyDescent="0.35">
      <c r="A21" s="111" t="s">
        <v>26</v>
      </c>
      <c r="B21" s="111"/>
      <c r="C21" s="98"/>
      <c r="E21" s="59"/>
      <c r="F21" s="76"/>
      <c r="G21" s="99"/>
      <c r="H21" s="99"/>
      <c r="I21" s="93" t="s">
        <v>28</v>
      </c>
      <c r="J21" s="30" t="s">
        <v>14</v>
      </c>
      <c r="K21" s="81"/>
    </row>
    <row r="22" spans="1:13" ht="16.5" hidden="1" customHeight="1" x14ac:dyDescent="0.35">
      <c r="A22" s="111" t="s">
        <v>27</v>
      </c>
      <c r="B22" s="111"/>
      <c r="C22" s="98"/>
      <c r="E22" s="191">
        <v>0</v>
      </c>
      <c r="F22" s="192"/>
      <c r="G22" s="192"/>
      <c r="H22" s="193"/>
      <c r="I22" s="194">
        <v>0</v>
      </c>
      <c r="J22" s="195">
        <f>ROUND((E22*I22)/(365/12),3)</f>
        <v>0</v>
      </c>
      <c r="K22" s="81"/>
    </row>
    <row r="23" spans="1:13" ht="16.5" hidden="1" customHeight="1" x14ac:dyDescent="0.35">
      <c r="A23" s="196" t="s">
        <v>55</v>
      </c>
      <c r="B23" s="111"/>
      <c r="C23" s="98"/>
      <c r="E23" s="76"/>
      <c r="F23" s="197"/>
      <c r="G23" s="197"/>
      <c r="H23" s="198"/>
      <c r="I23" s="199"/>
      <c r="J23" s="95"/>
      <c r="K23" s="81"/>
    </row>
    <row r="24" spans="1:13" ht="16.5" x14ac:dyDescent="0.35">
      <c r="A24" s="59" t="s">
        <v>56</v>
      </c>
      <c r="B24" s="59"/>
      <c r="C24" s="98"/>
      <c r="E24" s="59"/>
      <c r="F24" s="59"/>
      <c r="G24" s="59"/>
      <c r="H24" s="59"/>
      <c r="I24" s="93"/>
      <c r="J24" s="30" t="s">
        <v>14</v>
      </c>
      <c r="K24" s="81"/>
    </row>
    <row r="25" spans="1:13" ht="16.5" x14ac:dyDescent="0.35">
      <c r="A25" s="59" t="s">
        <v>57</v>
      </c>
      <c r="B25" s="59"/>
      <c r="C25" s="98"/>
      <c r="E25" s="290"/>
      <c r="F25" s="192"/>
      <c r="G25" s="192"/>
      <c r="H25" s="193"/>
      <c r="I25" s="200"/>
      <c r="J25" s="240">
        <f>E25</f>
        <v>0</v>
      </c>
      <c r="K25" s="81"/>
    </row>
    <row r="26" spans="1:13" ht="16.5" x14ac:dyDescent="0.35">
      <c r="A26" s="59"/>
      <c r="B26" s="59"/>
      <c r="C26" s="98"/>
      <c r="E26" s="59" t="s">
        <v>98</v>
      </c>
      <c r="F26" s="76"/>
      <c r="G26" s="99"/>
      <c r="H26" s="99"/>
      <c r="I26" s="99"/>
      <c r="J26" s="147"/>
      <c r="K26" s="81"/>
    </row>
    <row r="27" spans="1:13" ht="16.5" x14ac:dyDescent="0.35">
      <c r="A27" s="300" t="s">
        <v>179</v>
      </c>
      <c r="B27" s="300"/>
      <c r="C27" s="76"/>
      <c r="E27" s="76"/>
      <c r="F27" s="76"/>
      <c r="G27" s="30"/>
      <c r="H27" s="30"/>
      <c r="I27" s="30"/>
      <c r="J27" s="201"/>
      <c r="K27" s="76"/>
    </row>
    <row r="28" spans="1:13" ht="16.5" x14ac:dyDescent="0.35">
      <c r="A28" s="87" t="s">
        <v>48</v>
      </c>
      <c r="B28" s="87"/>
      <c r="C28" s="59"/>
      <c r="E28" s="295">
        <v>0.1285</v>
      </c>
      <c r="F28" s="76"/>
      <c r="G28" s="102"/>
      <c r="H28" s="96"/>
      <c r="I28" s="96" t="s">
        <v>240</v>
      </c>
      <c r="J28" s="236">
        <f>ROUND((((J12*12)/365)*E28)+(J22*E28)+(J25*E28)+(I12*E28),2)</f>
        <v>0</v>
      </c>
      <c r="K28" s="59"/>
    </row>
    <row r="29" spans="1:13" ht="16.5" x14ac:dyDescent="0.35">
      <c r="A29" s="87" t="s">
        <v>51</v>
      </c>
      <c r="B29" s="87"/>
      <c r="C29" s="59"/>
      <c r="E29" s="295">
        <v>7.9600000000000004E-2</v>
      </c>
      <c r="F29" s="76"/>
      <c r="G29" s="102"/>
      <c r="H29" s="92"/>
      <c r="I29" s="96" t="s">
        <v>50</v>
      </c>
      <c r="J29" s="236">
        <f>ROUND((((J12*12)/365)*E29)+(J22*E29)+(J25*E29)+(I12*E29),2)</f>
        <v>0</v>
      </c>
      <c r="K29" s="59"/>
    </row>
    <row r="30" spans="1:13" ht="16.5" x14ac:dyDescent="0.35">
      <c r="A30" s="76"/>
      <c r="B30" s="76"/>
      <c r="C30" s="59"/>
      <c r="E30" s="59"/>
      <c r="F30" s="76"/>
      <c r="G30" s="81"/>
      <c r="H30" s="145" t="s">
        <v>162</v>
      </c>
      <c r="I30" s="6" t="s">
        <v>2</v>
      </c>
      <c r="J30" s="247">
        <f>SUM(J28+J29)</f>
        <v>0</v>
      </c>
      <c r="K30" s="248">
        <f>IF(J30&gt;31.92,31.92,J30)</f>
        <v>0</v>
      </c>
    </row>
    <row r="31" spans="1:13" ht="14.25" customHeight="1" x14ac:dyDescent="0.35">
      <c r="A31" s="29"/>
      <c r="B31" s="29"/>
      <c r="C31" s="59"/>
      <c r="E31" s="59"/>
      <c r="F31" s="76"/>
      <c r="G31" s="76"/>
      <c r="H31" s="59"/>
      <c r="I31" s="92"/>
      <c r="J31" s="92"/>
      <c r="K31" s="122" t="s">
        <v>97</v>
      </c>
    </row>
    <row r="32" spans="1:13" ht="17.25" customHeight="1" x14ac:dyDescent="0.35">
      <c r="A32" s="76"/>
      <c r="B32" s="76"/>
      <c r="C32" s="76"/>
      <c r="E32" s="76"/>
      <c r="F32" s="76"/>
      <c r="G32" s="81"/>
      <c r="H32" s="30"/>
      <c r="I32" s="30" t="s">
        <v>170</v>
      </c>
      <c r="J32" s="147"/>
      <c r="K32" s="76"/>
      <c r="L32" s="10"/>
      <c r="M32" s="10"/>
    </row>
    <row r="33" spans="1:13" ht="2.25" hidden="1" customHeight="1" x14ac:dyDescent="0.35">
      <c r="A33" s="81"/>
      <c r="B33" s="81"/>
      <c r="C33" s="76"/>
      <c r="E33" s="78"/>
      <c r="F33" s="78"/>
      <c r="G33" s="78"/>
      <c r="H33" s="59"/>
      <c r="I33" s="202"/>
      <c r="J33" s="203">
        <f>ROUND(ROUND(ROUND(ROUND(ROUND(ROUND(IF(ROUND(((K17+K30+ J25)*1.0288),2)&gt;232.65,232.651,ROUND(((K17+K30+J25)*1.0288),2))*1.008,2)*1.105,2)*1.0018,2)*1.08,2)*1.03,2)*1.021,2)</f>
        <v>0</v>
      </c>
      <c r="K33" s="81"/>
      <c r="L33" s="10"/>
      <c r="M33" s="10"/>
    </row>
    <row r="34" spans="1:13" ht="16.5" hidden="1" x14ac:dyDescent="0.35">
      <c r="A34" s="81"/>
      <c r="B34" s="81"/>
      <c r="C34" s="76"/>
      <c r="E34" s="78"/>
      <c r="F34" s="78"/>
      <c r="G34" s="78"/>
      <c r="H34" s="59"/>
      <c r="I34" s="202" t="s">
        <v>161</v>
      </c>
      <c r="J34" s="249">
        <f>ROUND(ROUND(ROUND(ROUND(ROUND(J33*1.0096,2)*1.005772,2)*'rate increase'!C2,2)*'rate increase'!C3,2)*'rate increase'!C6,2)</f>
        <v>0</v>
      </c>
      <c r="K34" s="81"/>
      <c r="L34" s="10"/>
      <c r="M34" s="10"/>
    </row>
    <row r="35" spans="1:13" ht="16.5" x14ac:dyDescent="0.35">
      <c r="A35" s="104"/>
      <c r="B35" s="204"/>
      <c r="C35" s="205"/>
      <c r="E35" s="104"/>
      <c r="F35" s="206"/>
      <c r="G35" s="205"/>
      <c r="H35" s="103"/>
      <c r="I35" s="269" t="s">
        <v>160</v>
      </c>
      <c r="J35" s="294">
        <f>J34-('Budget Plan '!B6)</f>
        <v>0</v>
      </c>
      <c r="K35" s="107"/>
      <c r="L35" s="10"/>
      <c r="M35" s="10"/>
    </row>
    <row r="36" spans="1:13" ht="14.25" x14ac:dyDescent="0.3">
      <c r="A36" s="48"/>
      <c r="B36" s="159"/>
      <c r="C36" s="159"/>
      <c r="E36" s="48"/>
      <c r="F36" s="161"/>
      <c r="G36" s="13"/>
      <c r="H36" s="158"/>
      <c r="I36" s="9"/>
      <c r="J36" s="69"/>
      <c r="K36" s="160"/>
      <c r="L36" s="10"/>
      <c r="M36" s="10"/>
    </row>
    <row r="37" spans="1:13" ht="14.25" x14ac:dyDescent="0.3">
      <c r="A37" s="1" t="str">
        <f>'Budget Plan '!A24</f>
        <v>Revised 7/1/2023</v>
      </c>
      <c r="B37" s="159"/>
      <c r="C37" s="57"/>
      <c r="D37" s="51"/>
      <c r="E37" s="53"/>
      <c r="F37" s="48"/>
      <c r="G37" s="52"/>
      <c r="H37" s="58"/>
      <c r="I37" s="53"/>
      <c r="J37" s="50"/>
      <c r="K37" s="162"/>
      <c r="L37" s="10"/>
      <c r="M37" s="10"/>
    </row>
    <row r="38" spans="1:13" ht="14.25" x14ac:dyDescent="0.3">
      <c r="A38" s="4" t="s">
        <v>43</v>
      </c>
      <c r="B38" s="49"/>
      <c r="C38" s="49"/>
      <c r="D38" s="49"/>
      <c r="E38" s="49"/>
      <c r="F38" s="49"/>
      <c r="G38" s="49"/>
      <c r="H38" s="49"/>
      <c r="I38" s="49"/>
      <c r="J38" s="49"/>
      <c r="K38" s="163"/>
      <c r="L38" s="5"/>
      <c r="M38" s="10"/>
    </row>
    <row r="39" spans="1:13" ht="16.5" x14ac:dyDescent="0.35">
      <c r="A39" s="4" t="s">
        <v>6</v>
      </c>
      <c r="B39" s="53"/>
      <c r="C39" s="53"/>
      <c r="D39" s="53"/>
      <c r="E39" s="53"/>
      <c r="F39" s="53"/>
      <c r="G39" s="53"/>
      <c r="H39" s="53"/>
      <c r="I39" s="53"/>
      <c r="J39" s="53"/>
      <c r="K39" s="53"/>
      <c r="L39" s="76"/>
    </row>
    <row r="40" spans="1:13" ht="16.5" x14ac:dyDescent="0.35">
      <c r="A40" s="70"/>
      <c r="B40" s="60"/>
      <c r="C40" s="60"/>
      <c r="D40" s="164"/>
      <c r="E40" s="62"/>
      <c r="F40" s="62"/>
      <c r="G40" s="61"/>
      <c r="H40" s="61"/>
      <c r="I40" s="63"/>
      <c r="J40" s="165"/>
      <c r="K40" s="165"/>
      <c r="L40" s="76"/>
    </row>
    <row r="41" spans="1:13" ht="16.5" x14ac:dyDescent="0.35">
      <c r="A41" s="115"/>
      <c r="B41" s="60"/>
      <c r="C41" s="60"/>
      <c r="D41" s="164"/>
      <c r="E41" s="62"/>
      <c r="F41" s="62"/>
      <c r="G41" s="61"/>
      <c r="H41" s="61"/>
      <c r="I41" s="65"/>
      <c r="J41" s="165"/>
      <c r="K41" s="165"/>
      <c r="L41" s="76"/>
    </row>
    <row r="42" spans="1:13" ht="16.5" x14ac:dyDescent="0.35">
      <c r="A42" s="60"/>
      <c r="B42" s="60"/>
      <c r="C42" s="60"/>
      <c r="D42" s="164"/>
      <c r="E42" s="62"/>
      <c r="F42" s="62"/>
      <c r="G42" s="61"/>
      <c r="H42" s="61"/>
      <c r="I42" s="65"/>
      <c r="J42" s="165"/>
      <c r="K42" s="165"/>
      <c r="L42" s="76"/>
    </row>
    <row r="43" spans="1:13" ht="16.5" x14ac:dyDescent="0.35">
      <c r="A43" s="60"/>
      <c r="B43" s="60"/>
      <c r="C43" s="60"/>
      <c r="D43" s="164"/>
      <c r="E43" s="62"/>
      <c r="F43" s="62"/>
      <c r="G43" s="61"/>
      <c r="H43" s="61"/>
      <c r="I43" s="65"/>
      <c r="J43" s="165"/>
      <c r="K43" s="165"/>
      <c r="L43" s="76"/>
    </row>
    <row r="44" spans="1:13" ht="16.5" x14ac:dyDescent="0.35">
      <c r="A44" s="60"/>
      <c r="B44" s="60"/>
      <c r="C44" s="60"/>
      <c r="D44" s="61"/>
      <c r="E44" s="62"/>
      <c r="F44" s="62"/>
      <c r="G44" s="61"/>
      <c r="H44" s="61"/>
      <c r="I44" s="65"/>
      <c r="J44" s="165"/>
      <c r="K44" s="165"/>
      <c r="L44" s="76"/>
    </row>
    <row r="45" spans="1:13" ht="16.5" x14ac:dyDescent="0.35">
      <c r="A45" s="60"/>
      <c r="B45" s="60"/>
      <c r="C45" s="60"/>
      <c r="D45" s="61"/>
      <c r="E45" s="62"/>
      <c r="F45" s="62"/>
      <c r="G45" s="61"/>
      <c r="H45" s="61"/>
      <c r="I45" s="65"/>
      <c r="J45" s="165"/>
      <c r="K45" s="165"/>
      <c r="L45" s="76"/>
    </row>
    <row r="46" spans="1:13" ht="16.5" x14ac:dyDescent="0.35">
      <c r="A46" s="60"/>
      <c r="B46" s="60"/>
      <c r="C46" s="60"/>
      <c r="D46" s="61"/>
      <c r="E46" s="62"/>
      <c r="F46" s="62"/>
      <c r="G46" s="61"/>
      <c r="H46" s="61"/>
      <c r="I46" s="65"/>
      <c r="J46" s="165"/>
      <c r="K46" s="165"/>
      <c r="L46" s="76"/>
    </row>
    <row r="47" spans="1:13" ht="16.5" x14ac:dyDescent="0.35">
      <c r="A47" s="60"/>
      <c r="B47" s="60"/>
      <c r="C47" s="60"/>
      <c r="D47" s="61"/>
      <c r="E47" s="62"/>
      <c r="F47" s="62"/>
      <c r="G47" s="61"/>
      <c r="H47" s="61"/>
      <c r="I47" s="65"/>
      <c r="J47" s="165"/>
      <c r="K47" s="165"/>
      <c r="L47" s="76"/>
    </row>
    <row r="48" spans="1:13" ht="16.5" x14ac:dyDescent="0.35">
      <c r="A48" s="60"/>
      <c r="B48" s="60"/>
      <c r="C48" s="60"/>
      <c r="D48" s="61"/>
      <c r="E48" s="62"/>
      <c r="F48" s="62"/>
      <c r="G48" s="61"/>
      <c r="H48" s="61"/>
      <c r="I48" s="65"/>
      <c r="J48" s="165"/>
      <c r="K48" s="165"/>
      <c r="L48" s="76"/>
    </row>
    <row r="49" spans="1:13" ht="16.5" x14ac:dyDescent="0.35">
      <c r="A49" s="60"/>
      <c r="B49" s="60"/>
      <c r="C49" s="60"/>
      <c r="D49" s="61"/>
      <c r="E49" s="62"/>
      <c r="F49" s="62"/>
      <c r="G49" s="61"/>
      <c r="H49" s="61"/>
      <c r="I49" s="65"/>
      <c r="J49" s="165"/>
      <c r="K49" s="165"/>
      <c r="L49" s="76"/>
    </row>
    <row r="50" spans="1:13" ht="16.5" x14ac:dyDescent="0.35">
      <c r="A50" s="60"/>
      <c r="B50" s="60"/>
      <c r="C50" s="60"/>
      <c r="D50" s="61"/>
      <c r="E50" s="62"/>
      <c r="F50" s="62"/>
      <c r="G50" s="61"/>
      <c r="H50" s="61"/>
      <c r="I50" s="63"/>
      <c r="J50" s="165"/>
      <c r="K50" s="165"/>
      <c r="L50" s="76"/>
    </row>
    <row r="51" spans="1:13" ht="16.5" x14ac:dyDescent="0.35">
      <c r="A51" s="9"/>
      <c r="B51" s="9"/>
      <c r="C51" s="9"/>
      <c r="D51" s="9"/>
      <c r="E51" s="9"/>
      <c r="F51" s="9"/>
      <c r="G51" s="9"/>
      <c r="H51" s="9"/>
      <c r="I51" s="9"/>
      <c r="J51" s="9"/>
      <c r="K51" s="9"/>
      <c r="L51" s="5"/>
      <c r="M51" s="76"/>
    </row>
    <row r="52" spans="1:13" ht="16.5" x14ac:dyDescent="0.35">
      <c r="A52" s="47"/>
      <c r="B52" s="47"/>
      <c r="C52" s="47"/>
      <c r="D52" s="9"/>
      <c r="E52" s="47"/>
      <c r="F52" s="47"/>
      <c r="G52" s="47"/>
      <c r="H52" s="9"/>
      <c r="I52" s="47"/>
      <c r="J52" s="47"/>
      <c r="K52" s="47"/>
      <c r="L52" s="5"/>
      <c r="M52" s="76"/>
    </row>
    <row r="53" spans="1:13" ht="16.5" x14ac:dyDescent="0.35">
      <c r="A53" s="66"/>
      <c r="B53" s="66"/>
      <c r="C53" s="166"/>
      <c r="D53" s="7"/>
      <c r="E53" s="7"/>
      <c r="F53" s="39"/>
      <c r="G53" s="166"/>
      <c r="H53" s="7"/>
      <c r="I53" s="7"/>
      <c r="J53" s="9"/>
      <c r="K53" s="166"/>
      <c r="L53" s="11"/>
      <c r="M53" s="76"/>
    </row>
    <row r="54" spans="1:13" ht="12.75" x14ac:dyDescent="0.25">
      <c r="A54" s="39"/>
      <c r="B54" s="39"/>
      <c r="C54" s="67"/>
      <c r="D54" s="67"/>
      <c r="E54" s="67"/>
      <c r="F54" s="67"/>
      <c r="G54" s="67"/>
      <c r="H54" s="67"/>
      <c r="I54" s="67"/>
      <c r="J54" s="68"/>
      <c r="K54" s="40"/>
      <c r="L54" s="40"/>
      <c r="M54" s="10"/>
    </row>
    <row r="55" spans="1:13" ht="12.75" x14ac:dyDescent="0.25">
      <c r="A55" s="47"/>
      <c r="B55" s="47"/>
      <c r="C55" s="47"/>
      <c r="D55" s="39"/>
      <c r="E55" s="39"/>
      <c r="F55" s="39"/>
      <c r="G55" s="39"/>
      <c r="H55" s="39"/>
      <c r="I55" s="39"/>
      <c r="K55" s="10"/>
      <c r="L55" s="10"/>
      <c r="M55" s="10"/>
    </row>
    <row r="56" spans="1:13" ht="12.75" x14ac:dyDescent="0.25">
      <c r="A56" s="66"/>
      <c r="B56" s="66"/>
      <c r="C56" s="166"/>
      <c r="D56" s="39"/>
      <c r="E56" s="39"/>
      <c r="F56" s="39"/>
      <c r="G56" s="39"/>
      <c r="H56" s="39"/>
      <c r="I56" s="39"/>
      <c r="K56" s="10"/>
      <c r="L56" s="10"/>
      <c r="M56" s="10"/>
    </row>
    <row r="57" spans="1:13" ht="12.75" x14ac:dyDescent="0.25">
      <c r="B57" s="66"/>
      <c r="C57" s="67"/>
      <c r="D57" s="39"/>
      <c r="E57" s="39"/>
      <c r="F57" s="39"/>
      <c r="G57" s="39"/>
      <c r="H57" s="39"/>
      <c r="I57" s="39"/>
      <c r="K57" s="10"/>
      <c r="L57" s="10"/>
      <c r="M57" s="10"/>
    </row>
    <row r="58" spans="1:13" ht="12.75" x14ac:dyDescent="0.25">
      <c r="A58" s="70"/>
      <c r="B58" s="70"/>
      <c r="D58" s="73"/>
      <c r="E58" s="42"/>
      <c r="F58" s="41"/>
      <c r="G58" s="41"/>
      <c r="H58" s="41"/>
      <c r="I58" s="46"/>
      <c r="J58" s="41"/>
      <c r="K58" s="10"/>
      <c r="L58" s="10"/>
      <c r="M58" s="10"/>
    </row>
    <row r="59" spans="1:13" ht="12.75" x14ac:dyDescent="0.25">
      <c r="D59" s="41"/>
      <c r="E59" s="42"/>
      <c r="F59" s="41"/>
      <c r="G59" s="41"/>
      <c r="H59" s="41"/>
      <c r="I59" s="46"/>
      <c r="J59" s="41"/>
      <c r="K59" s="10"/>
      <c r="L59" s="10"/>
      <c r="M59" s="10"/>
    </row>
    <row r="60" spans="1:13" ht="12.75" x14ac:dyDescent="0.25">
      <c r="D60" s="41"/>
      <c r="E60" s="42"/>
      <c r="F60" s="41"/>
      <c r="G60" s="41"/>
      <c r="H60" s="41"/>
      <c r="I60" s="46"/>
      <c r="J60" s="41"/>
      <c r="K60" s="10"/>
      <c r="L60" s="10"/>
      <c r="M60" s="10"/>
    </row>
    <row r="61" spans="1:13" ht="12.75" x14ac:dyDescent="0.25">
      <c r="A61" s="42"/>
      <c r="B61" s="42"/>
      <c r="C61" s="46"/>
      <c r="D61" s="74"/>
      <c r="E61" s="42"/>
      <c r="F61" s="41"/>
      <c r="G61" s="41"/>
      <c r="H61" s="41"/>
      <c r="I61" s="46"/>
      <c r="J61" s="41"/>
      <c r="K61" s="10"/>
      <c r="L61" s="10"/>
      <c r="M61" s="10"/>
    </row>
    <row r="62" spans="1:13" ht="12.75" x14ac:dyDescent="0.25">
      <c r="C62" s="46"/>
      <c r="D62" s="41"/>
      <c r="E62" s="73"/>
      <c r="F62" s="73"/>
      <c r="G62" s="44"/>
      <c r="H62" s="44"/>
      <c r="I62" s="46"/>
      <c r="J62" s="41"/>
      <c r="K62" s="75"/>
      <c r="L62" s="10"/>
      <c r="M62" s="10"/>
    </row>
    <row r="63" spans="1:13" ht="12.75" x14ac:dyDescent="0.25">
      <c r="D63" s="41"/>
      <c r="E63" s="41"/>
      <c r="F63" s="41"/>
      <c r="G63" s="41"/>
      <c r="H63" s="41"/>
      <c r="I63" s="46"/>
      <c r="J63" s="41"/>
      <c r="K63" s="10"/>
      <c r="L63" s="10"/>
      <c r="M63" s="10"/>
    </row>
    <row r="64" spans="1:13" ht="12.75" x14ac:dyDescent="0.25">
      <c r="A64" s="42"/>
      <c r="B64" s="42"/>
      <c r="C64" s="46"/>
      <c r="D64" s="41"/>
      <c r="E64" s="73"/>
      <c r="F64" s="40"/>
      <c r="G64" s="41"/>
      <c r="H64" s="41"/>
      <c r="I64" s="46"/>
      <c r="J64" s="41"/>
      <c r="K64" s="10"/>
      <c r="L64" s="10"/>
      <c r="M64" s="10"/>
    </row>
    <row r="65" spans="1:13" ht="12.75" x14ac:dyDescent="0.25">
      <c r="A65" s="44"/>
      <c r="B65" s="44"/>
      <c r="C65" s="46"/>
      <c r="D65" s="41"/>
      <c r="E65" s="40"/>
      <c r="F65" s="41"/>
      <c r="G65" s="41"/>
      <c r="H65" s="41"/>
      <c r="I65" s="46"/>
      <c r="J65" s="41"/>
      <c r="K65" s="10"/>
      <c r="L65" s="10"/>
      <c r="M65" s="10"/>
    </row>
    <row r="66" spans="1:13" ht="9" customHeight="1" x14ac:dyDescent="0.25">
      <c r="A66" s="73"/>
      <c r="B66" s="73"/>
      <c r="C66" s="41"/>
      <c r="D66" s="41"/>
      <c r="E66" s="73"/>
      <c r="F66" s="73"/>
      <c r="G66" s="73"/>
      <c r="H66" s="73"/>
      <c r="I66" s="73"/>
      <c r="J66" s="73"/>
      <c r="K66" s="10"/>
      <c r="L66" s="10"/>
      <c r="M66" s="10"/>
    </row>
    <row r="67" spans="1:13" ht="12" customHeight="1" x14ac:dyDescent="0.25">
      <c r="A67" s="10"/>
      <c r="B67" s="10"/>
      <c r="D67" s="10"/>
      <c r="J67" s="10"/>
      <c r="K67" s="10"/>
      <c r="L67" s="10"/>
      <c r="M67" s="10"/>
    </row>
    <row r="68" spans="1:13" ht="12.95" customHeight="1" x14ac:dyDescent="0.25">
      <c r="A68" s="10"/>
      <c r="B68" s="10"/>
      <c r="C68" s="10"/>
      <c r="D68" s="10"/>
      <c r="J68" s="10"/>
      <c r="K68" s="10"/>
      <c r="L68" s="10"/>
      <c r="M68" s="10"/>
    </row>
    <row r="69" spans="1:13" ht="12.75" x14ac:dyDescent="0.25">
      <c r="A69" s="10"/>
      <c r="B69" s="10"/>
      <c r="D69" s="10"/>
      <c r="J69" s="10"/>
      <c r="K69" s="10"/>
      <c r="L69" s="10"/>
      <c r="M69" s="10"/>
    </row>
    <row r="70" spans="1:13" ht="12.75" x14ac:dyDescent="0.25">
      <c r="A70" s="10"/>
      <c r="B70" s="10"/>
      <c r="C70" s="10"/>
      <c r="D70" s="10"/>
      <c r="E70" s="10"/>
      <c r="F70" s="10"/>
      <c r="G70" s="10"/>
      <c r="H70" s="10"/>
      <c r="I70" s="10"/>
      <c r="J70" s="10"/>
      <c r="K70" s="10"/>
      <c r="L70" s="10"/>
      <c r="M70" s="10"/>
    </row>
    <row r="71" spans="1:13" ht="12.75" x14ac:dyDescent="0.25">
      <c r="A71" s="10"/>
      <c r="B71" s="10"/>
      <c r="C71" s="10"/>
      <c r="D71" s="10"/>
      <c r="E71" s="10"/>
      <c r="F71" s="10"/>
      <c r="G71" s="10"/>
      <c r="H71" s="10"/>
      <c r="I71" s="10"/>
      <c r="J71" s="10"/>
      <c r="K71" s="10"/>
      <c r="L71" s="10"/>
      <c r="M71" s="10"/>
    </row>
    <row r="72" spans="1:13" ht="12.75" x14ac:dyDescent="0.25">
      <c r="A72" s="10"/>
      <c r="B72" s="10"/>
      <c r="C72" s="10"/>
      <c r="D72" s="10"/>
      <c r="E72" s="10"/>
      <c r="F72" s="10"/>
      <c r="G72" s="10"/>
      <c r="H72" s="10"/>
      <c r="I72" s="10"/>
      <c r="J72" s="10"/>
      <c r="K72" s="10"/>
      <c r="L72" s="10"/>
      <c r="M72" s="10"/>
    </row>
    <row r="73" spans="1:13" ht="12.75" x14ac:dyDescent="0.25">
      <c r="A73" s="10"/>
      <c r="B73" s="10"/>
      <c r="C73" s="10"/>
      <c r="D73" s="10"/>
      <c r="E73" s="10"/>
      <c r="F73" s="10"/>
      <c r="G73" s="10"/>
      <c r="H73" s="10"/>
      <c r="I73" s="10"/>
      <c r="J73" s="10"/>
      <c r="K73" s="10"/>
      <c r="L73" s="10"/>
      <c r="M73" s="10"/>
    </row>
    <row r="74" spans="1:13" ht="12.75" x14ac:dyDescent="0.25">
      <c r="A74" s="10"/>
      <c r="B74" s="10"/>
      <c r="C74" s="10"/>
      <c r="D74" s="10"/>
      <c r="E74" s="10"/>
      <c r="F74" s="10"/>
      <c r="G74" s="10"/>
      <c r="H74" s="10"/>
      <c r="I74" s="10"/>
      <c r="J74" s="10"/>
      <c r="K74" s="10"/>
      <c r="L74" s="10"/>
      <c r="M74" s="10"/>
    </row>
    <row r="75" spans="1:13" ht="12.75" x14ac:dyDescent="0.25">
      <c r="A75" s="10"/>
      <c r="B75" s="10"/>
      <c r="C75" s="10"/>
      <c r="D75" s="10"/>
      <c r="E75" s="10"/>
      <c r="F75" s="10"/>
      <c r="G75" s="10"/>
      <c r="H75" s="10"/>
      <c r="I75" s="10"/>
      <c r="J75" s="10"/>
      <c r="K75" s="10"/>
      <c r="L75" s="10"/>
      <c r="M75" s="10"/>
    </row>
    <row r="76" spans="1:13" ht="12.75" x14ac:dyDescent="0.25">
      <c r="A76" s="10"/>
      <c r="B76" s="10"/>
      <c r="C76" s="10"/>
      <c r="D76" s="10"/>
      <c r="E76" s="10"/>
      <c r="F76" s="10"/>
      <c r="G76" s="10"/>
      <c r="H76" s="10"/>
      <c r="I76" s="10"/>
      <c r="J76" s="10"/>
      <c r="K76" s="10"/>
      <c r="L76" s="10"/>
      <c r="M76" s="10"/>
    </row>
    <row r="77" spans="1:13" ht="12.75" x14ac:dyDescent="0.25">
      <c r="A77" s="10"/>
      <c r="B77" s="10"/>
      <c r="C77" s="10"/>
      <c r="D77" s="10"/>
      <c r="E77" s="10"/>
      <c r="F77" s="10"/>
      <c r="G77" s="10"/>
      <c r="H77" s="10"/>
      <c r="I77" s="10"/>
      <c r="J77" s="10"/>
      <c r="K77" s="10"/>
      <c r="L77" s="10"/>
      <c r="M77" s="10"/>
    </row>
    <row r="78" spans="1:13" ht="12.75" x14ac:dyDescent="0.25">
      <c r="A78" s="10"/>
      <c r="B78" s="10"/>
      <c r="C78" s="10"/>
      <c r="D78" s="10"/>
      <c r="E78" s="10"/>
      <c r="F78" s="10"/>
      <c r="G78" s="10"/>
      <c r="H78" s="10"/>
      <c r="I78" s="10"/>
      <c r="J78" s="10"/>
      <c r="K78" s="10"/>
      <c r="L78" s="10"/>
      <c r="M78" s="10"/>
    </row>
    <row r="79" spans="1:13" ht="12.75" x14ac:dyDescent="0.25">
      <c r="A79" s="10"/>
      <c r="B79" s="10"/>
      <c r="C79" s="10"/>
      <c r="D79" s="10"/>
      <c r="E79" s="10"/>
      <c r="F79" s="10"/>
      <c r="G79" s="10"/>
      <c r="H79" s="10"/>
      <c r="I79" s="10"/>
      <c r="J79" s="10"/>
      <c r="K79" s="10"/>
      <c r="L79" s="10"/>
      <c r="M79" s="10"/>
    </row>
  </sheetData>
  <sheetProtection algorithmName="SHA-512" hashValue="IemdAZHeprIaizovRFiwI6UQRM1ZofNKp5gvUHeS/9XK6ih+2kK0uBQ5QzSsRaSBSn3UmA3dS5pl+4fD5oKvlg==" saltValue="0RRQAVvlvxHSDJ+Cno9JdQ==" spinCount="100000" sheet="1" selectLockedCells="1"/>
  <mergeCells count="2">
    <mergeCell ref="A1:J1"/>
    <mergeCell ref="A2:J2"/>
  </mergeCells>
  <phoneticPr fontId="2" type="noConversion"/>
  <printOptions horizontalCentered="1" gridLinesSet="0"/>
  <pageMargins left="0.25" right="0.26" top="0.25" bottom="0.25" header="0.18" footer="0.25"/>
  <pageSetup scale="78"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4"/>
  <dimension ref="A1:IU1325"/>
  <sheetViews>
    <sheetView showGridLines="0" zoomScaleNormal="100" workbookViewId="0">
      <selection activeCell="H6" sqref="H6"/>
    </sheetView>
  </sheetViews>
  <sheetFormatPr defaultColWidth="10" defaultRowHeight="28.5" customHeight="1" x14ac:dyDescent="0.35"/>
  <cols>
    <col min="1" max="1" width="19.796875" style="59" customWidth="1"/>
    <col min="2" max="2" width="26.796875" style="59" customWidth="1"/>
    <col min="3" max="3" width="6.796875" style="59" customWidth="1"/>
    <col min="4" max="4" width="31.3984375" style="59" hidden="1" customWidth="1"/>
    <col min="5" max="5" width="31" style="59" customWidth="1"/>
    <col min="6" max="6" width="21.59765625" style="59" customWidth="1"/>
    <col min="7" max="7" width="18.3984375" style="59" customWidth="1"/>
    <col min="8" max="8" width="18.59765625" style="59" customWidth="1"/>
    <col min="9" max="9" width="20" style="59" customWidth="1"/>
    <col min="10" max="10" width="25" style="59" customWidth="1"/>
    <col min="11" max="11" width="20.796875" style="59" customWidth="1"/>
    <col min="12" max="207" width="10" style="59"/>
    <col min="208" max="208" width="2" style="59" customWidth="1"/>
    <col min="209" max="16384" width="10" style="59"/>
  </cols>
  <sheetData>
    <row r="1" spans="1:255" ht="28.5" customHeight="1" x14ac:dyDescent="0.45">
      <c r="A1" s="426" t="s">
        <v>83</v>
      </c>
      <c r="B1" s="426"/>
      <c r="C1" s="426"/>
      <c r="D1" s="426"/>
      <c r="E1" s="426"/>
      <c r="F1" s="426"/>
      <c r="G1" s="426"/>
      <c r="H1" s="426"/>
      <c r="I1" s="426"/>
      <c r="J1" s="426"/>
    </row>
    <row r="2" spans="1:255" ht="15" customHeight="1" x14ac:dyDescent="0.35">
      <c r="A2" s="427" t="str">
        <f>'Budget Plan '!A2:I2</f>
        <v>FY2024</v>
      </c>
      <c r="B2" s="427"/>
      <c r="C2" s="427"/>
      <c r="D2" s="427"/>
      <c r="E2" s="427"/>
      <c r="F2" s="427"/>
      <c r="G2" s="427"/>
      <c r="H2" s="427"/>
      <c r="I2" s="427"/>
      <c r="J2" s="427"/>
    </row>
    <row r="3" spans="1:255" ht="15" customHeight="1" x14ac:dyDescent="0.35">
      <c r="A3" s="29" t="s">
        <v>22</v>
      </c>
      <c r="B3" s="30"/>
      <c r="C3" s="30"/>
      <c r="E3" s="29" t="s">
        <v>18</v>
      </c>
      <c r="G3" s="31" t="s">
        <v>103</v>
      </c>
      <c r="I3" s="31" t="s">
        <v>104</v>
      </c>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row>
    <row r="4" spans="1:255" ht="15" customHeight="1" x14ac:dyDescent="0.35">
      <c r="A4" s="79">
        <f>'Budget Plan '!A4</f>
        <v>0</v>
      </c>
      <c r="B4" s="80"/>
      <c r="C4" s="6"/>
      <c r="E4" s="34">
        <f>'Budget Plan '!C4</f>
        <v>0</v>
      </c>
      <c r="G4" s="35">
        <f>'Budget Plan '!F4</f>
        <v>0</v>
      </c>
      <c r="I4" s="36">
        <f>'Budget Plan '!H4</f>
        <v>0</v>
      </c>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row>
    <row r="5" spans="1:255" ht="15" customHeight="1" x14ac:dyDescent="0.35">
      <c r="D5" s="76"/>
      <c r="F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row>
    <row r="6" spans="1:255" ht="15" customHeight="1" x14ac:dyDescent="0.35">
      <c r="A6" s="81"/>
      <c r="B6" s="81"/>
      <c r="C6" s="81"/>
      <c r="D6" s="81"/>
      <c r="E6" s="428" t="s">
        <v>5</v>
      </c>
      <c r="F6" s="428"/>
      <c r="G6" s="428"/>
      <c r="H6" s="281"/>
      <c r="I6" s="81"/>
      <c r="J6" s="81"/>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row>
    <row r="7" spans="1:255" ht="15" customHeight="1" x14ac:dyDescent="0.35">
      <c r="A7" s="32" t="s">
        <v>177</v>
      </c>
      <c r="B7" s="32"/>
      <c r="C7" s="85"/>
      <c r="D7" s="30" t="s">
        <v>11</v>
      </c>
      <c r="E7" s="30" t="s">
        <v>9</v>
      </c>
      <c r="F7" s="30" t="s">
        <v>10</v>
      </c>
      <c r="G7" s="30" t="s">
        <v>4</v>
      </c>
      <c r="H7" s="30" t="s">
        <v>13</v>
      </c>
      <c r="I7" s="30" t="s">
        <v>14</v>
      </c>
      <c r="J7" s="30" t="s">
        <v>15</v>
      </c>
    </row>
    <row r="8" spans="1:255" ht="15" customHeight="1" x14ac:dyDescent="0.35">
      <c r="A8" s="87" t="s">
        <v>52</v>
      </c>
      <c r="B8" s="87"/>
      <c r="C8" s="87"/>
      <c r="D8" s="88">
        <v>17.52</v>
      </c>
      <c r="E8" s="282"/>
      <c r="F8" s="277"/>
      <c r="G8" s="283">
        <v>1</v>
      </c>
      <c r="H8" s="235">
        <f>ROUND(((E8*(H6/12))/(G8))+(((F8))/(G8)),1)</f>
        <v>0</v>
      </c>
      <c r="I8" s="244">
        <f>(D8*E8)/(G8)</f>
        <v>0</v>
      </c>
      <c r="J8" s="236">
        <f>ROUND((D8*F8)/(G8),2)</f>
        <v>0</v>
      </c>
    </row>
    <row r="9" spans="1:255" ht="15" customHeight="1" x14ac:dyDescent="0.35">
      <c r="A9" s="87" t="s">
        <v>52</v>
      </c>
      <c r="B9" s="87"/>
      <c r="C9" s="87"/>
      <c r="D9" s="88">
        <v>17.52</v>
      </c>
      <c r="E9" s="284"/>
      <c r="F9" s="277"/>
      <c r="G9" s="283">
        <v>6</v>
      </c>
      <c r="H9" s="235">
        <f>ROUND(((E9*(H6/12))/(G9))+(((F9))/(G9)),1)</f>
        <v>0</v>
      </c>
      <c r="I9" s="244">
        <f>(D9*E9)/(G9)</f>
        <v>0</v>
      </c>
      <c r="J9" s="236">
        <f>ROUND((D9*F9)/(G9),2)</f>
        <v>0</v>
      </c>
    </row>
    <row r="10" spans="1:255" ht="15" customHeight="1" x14ac:dyDescent="0.35">
      <c r="A10" s="87" t="s">
        <v>52</v>
      </c>
      <c r="B10" s="87"/>
      <c r="C10" s="87"/>
      <c r="D10" s="88">
        <v>17.52</v>
      </c>
      <c r="E10" s="279"/>
      <c r="F10" s="277"/>
      <c r="G10" s="283">
        <v>3</v>
      </c>
      <c r="H10" s="235">
        <f>ROUND(((E10*(H6/12))/(G10))+(((F10))/(G10)),1)</f>
        <v>0</v>
      </c>
      <c r="I10" s="244">
        <f>(D10*E10)/(G10)</f>
        <v>0</v>
      </c>
      <c r="J10" s="236">
        <f>ROUND((D10*F10)/(G10),2)</f>
        <v>0</v>
      </c>
    </row>
    <row r="11" spans="1:255" ht="15" customHeight="1" x14ac:dyDescent="0.35">
      <c r="A11" s="87" t="s">
        <v>52</v>
      </c>
      <c r="B11" s="87"/>
      <c r="C11" s="87"/>
      <c r="D11" s="90">
        <v>17.52</v>
      </c>
      <c r="E11" s="285"/>
      <c r="F11" s="277"/>
      <c r="G11" s="283">
        <v>4</v>
      </c>
      <c r="H11" s="235">
        <f>ROUND(((E11*(H6/12))/(G11))+(((F11))/(G11)),1)</f>
        <v>0</v>
      </c>
      <c r="I11" s="245">
        <f>(D11*E11)/(G11)</f>
        <v>0</v>
      </c>
      <c r="J11" s="236">
        <f>ROUND((D11*F11)/(G11),2)</f>
        <v>0</v>
      </c>
    </row>
    <row r="12" spans="1:255" ht="15" customHeight="1" x14ac:dyDescent="0.35">
      <c r="A12" s="76"/>
      <c r="B12" s="76"/>
      <c r="C12" s="76"/>
      <c r="D12" s="92"/>
      <c r="E12" s="92"/>
      <c r="F12" s="93"/>
      <c r="G12" s="145" t="s">
        <v>60</v>
      </c>
      <c r="H12" s="286">
        <f>SUM(H8:H11)</f>
        <v>0</v>
      </c>
      <c r="I12" s="248">
        <f>SUM(I8:I11)</f>
        <v>0</v>
      </c>
      <c r="J12" s="288">
        <f>SUM(J8:J11)</f>
        <v>0</v>
      </c>
    </row>
    <row r="13" spans="1:255" ht="15" customHeight="1" x14ac:dyDescent="0.35">
      <c r="A13" s="76"/>
      <c r="B13" s="76"/>
      <c r="C13" s="76"/>
      <c r="E13" s="268" t="s">
        <v>93</v>
      </c>
      <c r="F13" s="246">
        <f>IFERROR(ROUND(+H12*12/H6,2),0)</f>
        <v>0</v>
      </c>
      <c r="G13" s="6"/>
      <c r="H13" s="97"/>
      <c r="I13" s="94"/>
      <c r="J13" s="147"/>
    </row>
    <row r="14" spans="1:255" ht="15" customHeight="1" x14ac:dyDescent="0.35">
      <c r="A14" s="76"/>
      <c r="B14" s="76"/>
      <c r="C14" s="76"/>
      <c r="D14" s="96"/>
      <c r="E14" s="97"/>
      <c r="F14" s="6"/>
      <c r="G14" s="6"/>
      <c r="H14" s="97"/>
      <c r="I14" s="94"/>
      <c r="J14" s="147"/>
    </row>
    <row r="15" spans="1:255" ht="15" customHeight="1" x14ac:dyDescent="0.35">
      <c r="A15" s="100"/>
      <c r="B15" s="100"/>
      <c r="C15" s="100"/>
      <c r="E15" s="151"/>
      <c r="F15" s="152"/>
      <c r="G15" s="155"/>
      <c r="H15" s="153" t="s">
        <v>59</v>
      </c>
      <c r="I15" s="240">
        <f>IFERROR(((($J$12*12/$H$6)+I12)*0.335+6.84),0)</f>
        <v>0</v>
      </c>
      <c r="R15" s="167"/>
    </row>
    <row r="16" spans="1:255" ht="15" customHeight="1" x14ac:dyDescent="0.35">
      <c r="A16" s="76"/>
      <c r="B16" s="76"/>
      <c r="C16" s="76"/>
      <c r="E16" s="78"/>
      <c r="F16" s="81"/>
      <c r="G16" s="6"/>
      <c r="H16" s="30" t="s">
        <v>170</v>
      </c>
      <c r="I16" s="95"/>
      <c r="J16" s="81"/>
      <c r="K16" s="76"/>
      <c r="L16" s="76"/>
      <c r="M16" s="76"/>
    </row>
    <row r="17" spans="1:14" ht="15" customHeight="1" x14ac:dyDescent="0.35">
      <c r="A17" s="76"/>
      <c r="B17" s="76"/>
      <c r="C17" s="76"/>
      <c r="E17" s="78"/>
      <c r="F17" s="81"/>
      <c r="G17" s="6"/>
      <c r="H17" s="268" t="s">
        <v>31</v>
      </c>
      <c r="I17" s="289">
        <f>IFERROR(ROUND(ROUND(ROUND(ROUND(ROUND(I18*1.0096,2)*1.005772,2)*'rate increase'!C2,2)*'rate increase'!C3,2)*'rate increase'!C6,2),0)</f>
        <v>0</v>
      </c>
      <c r="J17" s="81"/>
      <c r="K17" s="76"/>
      <c r="L17" s="76"/>
      <c r="M17" s="76"/>
    </row>
    <row r="18" spans="1:14" ht="15" hidden="1" customHeight="1" thickBot="1" x14ac:dyDescent="0.4">
      <c r="A18" s="76"/>
      <c r="B18" s="76"/>
      <c r="C18" s="76"/>
      <c r="E18" s="78"/>
      <c r="F18" s="81"/>
      <c r="G18" s="78"/>
      <c r="H18" s="101"/>
      <c r="I18" s="298" t="e">
        <f>ROUND(ROUND(ROUND(ROUND(ROUND(ROUND(IF(ROUND(((I15+I12+($J$12*12/H6))*1.0288),2)&gt;151.41,151.41,ROUND(((I15+I12+($J$12*12/H6))*1.0288),2))*1.008,2)*1.105,2)*1.0018,2)*1.08,2)*1.03,2)*1.021,2)</f>
        <v>#DIV/0!</v>
      </c>
      <c r="J18" s="81"/>
      <c r="K18" s="76"/>
      <c r="L18" s="76"/>
      <c r="M18" s="76"/>
    </row>
    <row r="19" spans="1:14" ht="15" customHeight="1" x14ac:dyDescent="0.35">
      <c r="E19" s="103"/>
      <c r="F19" s="38"/>
      <c r="G19" s="38"/>
      <c r="I19" s="104" t="s">
        <v>25</v>
      </c>
      <c r="J19" s="270">
        <f>SUM(ROUND((I17*(H6)/12),2))</f>
        <v>0</v>
      </c>
      <c r="K19" s="76"/>
      <c r="L19" s="76"/>
      <c r="M19" s="76"/>
    </row>
    <row r="20" spans="1:14" ht="15" customHeight="1" x14ac:dyDescent="0.35">
      <c r="E20" s="103"/>
      <c r="F20" s="38"/>
      <c r="G20" s="38"/>
      <c r="I20" s="105" t="s">
        <v>24</v>
      </c>
      <c r="J20" s="270">
        <f>ROUND((I17*H6),2)</f>
        <v>0</v>
      </c>
      <c r="K20" s="76"/>
      <c r="L20" s="76"/>
      <c r="M20" s="76"/>
    </row>
    <row r="21" spans="1:14" ht="15" customHeight="1" x14ac:dyDescent="0.35">
      <c r="A21" s="48"/>
      <c r="B21" s="17"/>
      <c r="C21" s="13"/>
      <c r="D21" s="49"/>
      <c r="E21" s="49"/>
      <c r="F21" s="50"/>
      <c r="G21" s="50"/>
      <c r="H21" s="52"/>
      <c r="I21" s="106"/>
      <c r="J21" s="107"/>
      <c r="K21" s="76"/>
      <c r="L21" s="76"/>
      <c r="M21" s="76"/>
    </row>
    <row r="22" spans="1:14" ht="15" customHeight="1" x14ac:dyDescent="0.35">
      <c r="A22" s="1" t="str">
        <f>'Budget Plan '!A24</f>
        <v>Revised 7/1/2023</v>
      </c>
      <c r="B22" s="108"/>
      <c r="C22" s="55"/>
      <c r="D22" s="56"/>
      <c r="E22" s="49"/>
      <c r="F22" s="50"/>
      <c r="G22" s="49"/>
      <c r="H22" s="51"/>
      <c r="I22" s="38"/>
      <c r="J22" s="38"/>
      <c r="K22" s="76"/>
      <c r="L22" s="76"/>
      <c r="M22" s="76"/>
    </row>
    <row r="23" spans="1:14" ht="15" customHeight="1" x14ac:dyDescent="0.35">
      <c r="A23" s="4" t="s">
        <v>43</v>
      </c>
      <c r="B23" s="13"/>
      <c r="C23" s="57"/>
      <c r="D23" s="53"/>
      <c r="E23" s="48"/>
      <c r="F23" s="52"/>
      <c r="G23" s="109"/>
      <c r="H23" s="53"/>
      <c r="I23" s="103"/>
      <c r="J23" s="103"/>
      <c r="K23" s="76"/>
      <c r="L23" s="76"/>
      <c r="M23" s="76"/>
    </row>
    <row r="24" spans="1:14" ht="15" customHeight="1" x14ac:dyDescent="0.35">
      <c r="A24" s="4" t="s">
        <v>6</v>
      </c>
      <c r="B24" s="103"/>
      <c r="C24" s="103"/>
      <c r="D24" s="103"/>
      <c r="E24" s="103"/>
      <c r="F24" s="103"/>
      <c r="G24" s="103"/>
      <c r="H24" s="103"/>
      <c r="I24" s="103"/>
      <c r="J24" s="103"/>
      <c r="K24" s="76"/>
      <c r="L24" s="76"/>
      <c r="M24" s="76"/>
    </row>
    <row r="25" spans="1:14" ht="15" customHeight="1" x14ac:dyDescent="0.35">
      <c r="A25" s="106"/>
      <c r="B25" s="106"/>
      <c r="C25" s="106"/>
      <c r="D25" s="106"/>
      <c r="E25" s="106"/>
      <c r="F25" s="106"/>
      <c r="G25" s="106"/>
      <c r="H25" s="106"/>
      <c r="I25" s="106"/>
      <c r="J25" s="106"/>
      <c r="K25" s="110"/>
      <c r="L25" s="110"/>
      <c r="M25" s="110"/>
      <c r="N25" s="111"/>
    </row>
    <row r="26" spans="1:14" ht="15" customHeight="1" x14ac:dyDescent="0.35">
      <c r="A26" s="115"/>
      <c r="B26" s="60"/>
      <c r="C26" s="60"/>
      <c r="D26" s="62"/>
      <c r="E26" s="62"/>
      <c r="F26" s="61"/>
      <c r="G26" s="61"/>
      <c r="H26" s="64"/>
      <c r="I26" s="64"/>
      <c r="J26" s="13"/>
      <c r="K26" s="76"/>
      <c r="L26" s="76"/>
      <c r="M26" s="76"/>
    </row>
    <row r="27" spans="1:14" ht="15" customHeight="1" x14ac:dyDescent="0.35">
      <c r="A27" s="60"/>
      <c r="B27" s="60"/>
      <c r="C27" s="60"/>
      <c r="D27" s="62"/>
      <c r="E27" s="62"/>
      <c r="F27" s="61"/>
      <c r="G27" s="61"/>
      <c r="H27" s="64"/>
      <c r="I27" s="64"/>
      <c r="J27" s="13"/>
      <c r="K27" s="76"/>
      <c r="L27" s="76"/>
      <c r="M27" s="76"/>
    </row>
    <row r="28" spans="1:14" ht="15" customHeight="1" x14ac:dyDescent="0.35">
      <c r="A28" s="60"/>
      <c r="B28" s="60"/>
      <c r="C28" s="60"/>
      <c r="D28" s="62"/>
      <c r="E28" s="62"/>
      <c r="F28" s="61"/>
      <c r="G28" s="61"/>
      <c r="H28" s="64"/>
      <c r="I28" s="64"/>
      <c r="J28" s="13"/>
      <c r="K28" s="76"/>
      <c r="L28" s="76"/>
      <c r="M28" s="76"/>
    </row>
    <row r="29" spans="1:14" ht="15" customHeight="1" x14ac:dyDescent="0.35">
      <c r="A29" s="60"/>
      <c r="B29" s="60"/>
      <c r="C29" s="60"/>
      <c r="D29" s="62"/>
      <c r="E29" s="62"/>
      <c r="F29" s="61"/>
      <c r="G29" s="61"/>
      <c r="H29" s="64"/>
      <c r="I29" s="64"/>
      <c r="J29" s="13"/>
      <c r="K29" s="76"/>
      <c r="L29" s="76"/>
      <c r="M29" s="76"/>
    </row>
    <row r="30" spans="1:14" ht="15" customHeight="1" x14ac:dyDescent="0.35">
      <c r="A30" s="60"/>
      <c r="B30" s="60"/>
      <c r="C30" s="60"/>
      <c r="D30" s="62"/>
      <c r="E30" s="62"/>
      <c r="F30" s="61"/>
      <c r="G30" s="61"/>
      <c r="H30" s="64"/>
      <c r="I30" s="64"/>
      <c r="J30" s="13"/>
      <c r="K30" s="76"/>
      <c r="L30" s="76"/>
      <c r="M30" s="76"/>
    </row>
    <row r="31" spans="1:14" ht="15" customHeight="1" x14ac:dyDescent="0.35">
      <c r="A31" s="103"/>
      <c r="B31" s="103"/>
      <c r="C31" s="103"/>
      <c r="D31" s="103"/>
      <c r="E31" s="103"/>
      <c r="F31" s="103"/>
      <c r="G31" s="103"/>
      <c r="H31" s="103"/>
      <c r="I31" s="103"/>
      <c r="J31" s="103"/>
      <c r="K31" s="76"/>
      <c r="L31" s="76"/>
      <c r="M31" s="76"/>
    </row>
    <row r="32" spans="1:14" ht="15" customHeight="1" x14ac:dyDescent="0.35">
      <c r="A32" s="38"/>
      <c r="B32" s="38"/>
      <c r="C32" s="38"/>
      <c r="D32" s="38"/>
      <c r="E32" s="38"/>
      <c r="F32" s="38"/>
      <c r="G32" s="103"/>
      <c r="H32" s="38"/>
      <c r="I32" s="38"/>
      <c r="J32" s="38"/>
      <c r="L32" s="76"/>
      <c r="M32" s="76"/>
    </row>
    <row r="33" spans="1:13" ht="15" customHeight="1" x14ac:dyDescent="0.35">
      <c r="A33" s="112"/>
      <c r="B33" s="113"/>
      <c r="C33" s="106"/>
      <c r="D33" s="8"/>
      <c r="E33" s="113"/>
      <c r="F33" s="106"/>
      <c r="G33" s="103"/>
      <c r="H33" s="8"/>
      <c r="I33" s="103"/>
      <c r="J33" s="106"/>
      <c r="L33" s="76"/>
      <c r="M33" s="76"/>
    </row>
    <row r="34" spans="1:13" ht="15" customHeight="1" x14ac:dyDescent="0.35">
      <c r="A34" s="103"/>
      <c r="B34" s="8"/>
      <c r="C34" s="8"/>
      <c r="D34" s="8"/>
      <c r="E34" s="8"/>
      <c r="F34" s="8"/>
      <c r="G34" s="8"/>
      <c r="H34" s="8"/>
      <c r="I34" s="114"/>
      <c r="J34" s="114"/>
      <c r="L34" s="76"/>
      <c r="M34" s="76"/>
    </row>
    <row r="35" spans="1:13" ht="15" customHeight="1" x14ac:dyDescent="0.35">
      <c r="A35" s="38"/>
      <c r="B35" s="38"/>
      <c r="C35" s="38"/>
      <c r="D35" s="103"/>
      <c r="E35" s="103"/>
      <c r="F35" s="103"/>
      <c r="G35" s="103"/>
      <c r="H35" s="103"/>
      <c r="I35" s="103"/>
      <c r="J35" s="103"/>
      <c r="K35" s="76"/>
      <c r="L35" s="76"/>
      <c r="M35" s="76"/>
    </row>
    <row r="36" spans="1:13" ht="15" customHeight="1" x14ac:dyDescent="0.35">
      <c r="A36" s="112"/>
      <c r="B36" s="113"/>
      <c r="C36" s="106"/>
      <c r="D36" s="103"/>
      <c r="E36" s="103"/>
      <c r="F36" s="103"/>
      <c r="G36" s="103"/>
      <c r="H36" s="103"/>
      <c r="I36" s="103"/>
      <c r="J36" s="103"/>
      <c r="K36" s="76"/>
      <c r="L36" s="76"/>
      <c r="M36" s="76"/>
    </row>
    <row r="37" spans="1:13" ht="15" customHeight="1" x14ac:dyDescent="0.35">
      <c r="A37" s="112"/>
      <c r="B37" s="8"/>
      <c r="C37" s="103"/>
      <c r="D37" s="103"/>
      <c r="E37" s="103"/>
      <c r="F37" s="103"/>
      <c r="G37" s="103"/>
      <c r="H37" s="103"/>
      <c r="I37" s="103"/>
      <c r="J37" s="103"/>
      <c r="K37" s="76"/>
      <c r="L37" s="76"/>
      <c r="M37" s="76"/>
    </row>
    <row r="38" spans="1:13" ht="15" customHeight="1" x14ac:dyDescent="0.35">
      <c r="K38" s="76"/>
      <c r="L38" s="76"/>
      <c r="M38" s="76"/>
    </row>
    <row r="39" spans="1:13" ht="15" customHeight="1" x14ac:dyDescent="0.35"/>
    <row r="40" spans="1:13" ht="15" customHeight="1" x14ac:dyDescent="0.35"/>
    <row r="41" spans="1:13" ht="15" customHeight="1" x14ac:dyDescent="0.35"/>
    <row r="42" spans="1:13" ht="15" customHeight="1" x14ac:dyDescent="0.35"/>
    <row r="43" spans="1:13" ht="15" customHeight="1" x14ac:dyDescent="0.35"/>
    <row r="44" spans="1:13" ht="15" customHeight="1" x14ac:dyDescent="0.35"/>
    <row r="45" spans="1:13" ht="15" customHeight="1" x14ac:dyDescent="0.35"/>
    <row r="46" spans="1:13" ht="15" customHeight="1" x14ac:dyDescent="0.35"/>
    <row r="47" spans="1:13" ht="15" customHeight="1" x14ac:dyDescent="0.35"/>
    <row r="48" spans="1:13" ht="15" customHeight="1" x14ac:dyDescent="0.35"/>
    <row r="49" spans="1:1" ht="15" customHeight="1" x14ac:dyDescent="0.35"/>
    <row r="50" spans="1:1" ht="15" customHeight="1" x14ac:dyDescent="0.35"/>
    <row r="51" spans="1:1" ht="15" customHeight="1" x14ac:dyDescent="0.35"/>
    <row r="52" spans="1:1" ht="15" customHeight="1" x14ac:dyDescent="0.35"/>
    <row r="53" spans="1:1" ht="15" customHeight="1" x14ac:dyDescent="0.35"/>
    <row r="54" spans="1:1" ht="15" customHeight="1" x14ac:dyDescent="0.35"/>
    <row r="55" spans="1:1" ht="15" customHeight="1" x14ac:dyDescent="0.35"/>
    <row r="56" spans="1:1" ht="15" customHeight="1" x14ac:dyDescent="0.35"/>
    <row r="57" spans="1:1" ht="15" customHeight="1" x14ac:dyDescent="0.35">
      <c r="A57" s="115">
        <f ca="1">TODAY()</f>
        <v>45142</v>
      </c>
    </row>
    <row r="58" spans="1:1" ht="15" customHeight="1" x14ac:dyDescent="0.35"/>
    <row r="59" spans="1:1" ht="15" customHeight="1" x14ac:dyDescent="0.35"/>
    <row r="60" spans="1:1" ht="15" customHeight="1" x14ac:dyDescent="0.35"/>
    <row r="61" spans="1:1" ht="15" customHeight="1" x14ac:dyDescent="0.35"/>
    <row r="62" spans="1:1" ht="15" customHeight="1" x14ac:dyDescent="0.35"/>
    <row r="63" spans="1:1" ht="15" customHeight="1" x14ac:dyDescent="0.35"/>
    <row r="64" spans="1:1"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row r="181" ht="15" customHeight="1" x14ac:dyDescent="0.35"/>
    <row r="182" ht="15" customHeight="1" x14ac:dyDescent="0.35"/>
    <row r="183" ht="15" customHeight="1" x14ac:dyDescent="0.35"/>
    <row r="184" ht="15" customHeight="1" x14ac:dyDescent="0.35"/>
    <row r="185" ht="15" customHeight="1" x14ac:dyDescent="0.35"/>
    <row r="186" ht="15" customHeight="1" x14ac:dyDescent="0.35"/>
    <row r="187" ht="15" customHeight="1" x14ac:dyDescent="0.35"/>
    <row r="188" ht="15" customHeight="1" x14ac:dyDescent="0.35"/>
    <row r="189" ht="15" customHeight="1" x14ac:dyDescent="0.35"/>
    <row r="190" ht="15" customHeight="1" x14ac:dyDescent="0.35"/>
    <row r="191" ht="15" customHeight="1" x14ac:dyDescent="0.35"/>
    <row r="192" ht="15" customHeight="1" x14ac:dyDescent="0.35"/>
    <row r="193" ht="15" customHeight="1" x14ac:dyDescent="0.35"/>
    <row r="194" ht="15" customHeight="1" x14ac:dyDescent="0.35"/>
    <row r="195" ht="15" customHeight="1" x14ac:dyDescent="0.35"/>
    <row r="196" ht="15" customHeight="1" x14ac:dyDescent="0.35"/>
    <row r="197" ht="15" customHeight="1" x14ac:dyDescent="0.35"/>
    <row r="198" ht="15" customHeight="1" x14ac:dyDescent="0.35"/>
    <row r="199" ht="15" customHeight="1" x14ac:dyDescent="0.35"/>
    <row r="200" ht="15" customHeight="1" x14ac:dyDescent="0.35"/>
    <row r="201" ht="15" customHeight="1" x14ac:dyDescent="0.35"/>
    <row r="202" ht="15" customHeight="1" x14ac:dyDescent="0.35"/>
    <row r="203" ht="15" customHeight="1" x14ac:dyDescent="0.35"/>
    <row r="204" ht="15" customHeight="1" x14ac:dyDescent="0.35"/>
    <row r="205" ht="15" customHeight="1" x14ac:dyDescent="0.35"/>
    <row r="206" ht="15" customHeight="1" x14ac:dyDescent="0.35"/>
    <row r="207" ht="15" customHeight="1" x14ac:dyDescent="0.35"/>
    <row r="208" ht="15" customHeight="1" x14ac:dyDescent="0.35"/>
    <row r="209" ht="15" customHeight="1" x14ac:dyDescent="0.35"/>
    <row r="210" ht="15" customHeight="1" x14ac:dyDescent="0.35"/>
    <row r="211" ht="15" customHeight="1" x14ac:dyDescent="0.35"/>
    <row r="212" ht="15" customHeight="1" x14ac:dyDescent="0.35"/>
    <row r="213" ht="15" customHeight="1" x14ac:dyDescent="0.35"/>
    <row r="214" ht="15" customHeight="1" x14ac:dyDescent="0.35"/>
    <row r="215" ht="15" customHeight="1" x14ac:dyDescent="0.35"/>
    <row r="216" ht="15" customHeight="1" x14ac:dyDescent="0.35"/>
    <row r="217" ht="15" customHeight="1" x14ac:dyDescent="0.35"/>
    <row r="218" ht="15" customHeight="1" x14ac:dyDescent="0.35"/>
    <row r="219" ht="15" customHeight="1" x14ac:dyDescent="0.35"/>
    <row r="220" ht="15" customHeight="1" x14ac:dyDescent="0.35"/>
    <row r="221" ht="15" customHeight="1" x14ac:dyDescent="0.35"/>
    <row r="222" ht="15" customHeight="1" x14ac:dyDescent="0.35"/>
    <row r="223" ht="15" customHeight="1" x14ac:dyDescent="0.35"/>
    <row r="224"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row r="235" ht="15" customHeight="1" x14ac:dyDescent="0.35"/>
    <row r="236" ht="15" customHeight="1" x14ac:dyDescent="0.35"/>
    <row r="237" ht="15" customHeight="1" x14ac:dyDescent="0.35"/>
    <row r="238" ht="15" customHeight="1" x14ac:dyDescent="0.35"/>
    <row r="239" ht="15" customHeight="1" x14ac:dyDescent="0.35"/>
    <row r="240" ht="15" customHeight="1" x14ac:dyDescent="0.35"/>
    <row r="241" ht="15" customHeight="1" x14ac:dyDescent="0.35"/>
    <row r="242" ht="15" customHeight="1" x14ac:dyDescent="0.35"/>
    <row r="243" ht="15" customHeight="1" x14ac:dyDescent="0.35"/>
    <row r="244" ht="15" customHeight="1" x14ac:dyDescent="0.35"/>
    <row r="245" ht="15" customHeight="1" x14ac:dyDescent="0.35"/>
    <row r="246" ht="15" customHeight="1" x14ac:dyDescent="0.35"/>
    <row r="247" ht="15" customHeight="1" x14ac:dyDescent="0.35"/>
    <row r="248" ht="15" customHeight="1" x14ac:dyDescent="0.35"/>
    <row r="249" ht="15" customHeight="1" x14ac:dyDescent="0.35"/>
    <row r="250" ht="15" customHeight="1" x14ac:dyDescent="0.35"/>
    <row r="251" ht="15" customHeight="1" x14ac:dyDescent="0.35"/>
    <row r="252" ht="15" customHeight="1" x14ac:dyDescent="0.35"/>
    <row r="253" ht="15" customHeight="1" x14ac:dyDescent="0.35"/>
    <row r="254" ht="15" customHeight="1" x14ac:dyDescent="0.35"/>
    <row r="255" ht="15" customHeight="1" x14ac:dyDescent="0.35"/>
    <row r="256" ht="15" customHeight="1" x14ac:dyDescent="0.35"/>
    <row r="257" ht="15" customHeight="1" x14ac:dyDescent="0.35"/>
    <row r="258" ht="15" customHeight="1" x14ac:dyDescent="0.35"/>
    <row r="259" ht="15" customHeight="1" x14ac:dyDescent="0.35"/>
    <row r="260" ht="15" customHeight="1" x14ac:dyDescent="0.35"/>
    <row r="261" ht="15" customHeight="1" x14ac:dyDescent="0.35"/>
    <row r="262" ht="15" customHeight="1" x14ac:dyDescent="0.35"/>
    <row r="263" ht="15" customHeight="1" x14ac:dyDescent="0.35"/>
    <row r="264" ht="15" customHeight="1" x14ac:dyDescent="0.35"/>
    <row r="265" ht="15" customHeight="1" x14ac:dyDescent="0.35"/>
    <row r="266" ht="15" customHeight="1" x14ac:dyDescent="0.35"/>
    <row r="267" ht="15" customHeight="1" x14ac:dyDescent="0.35"/>
    <row r="268" ht="15" customHeight="1" x14ac:dyDescent="0.35"/>
    <row r="269" ht="15" customHeight="1" x14ac:dyDescent="0.35"/>
    <row r="270" ht="15" customHeight="1" x14ac:dyDescent="0.35"/>
    <row r="271" ht="15" customHeight="1" x14ac:dyDescent="0.35"/>
    <row r="272" ht="15" customHeight="1" x14ac:dyDescent="0.35"/>
    <row r="273" ht="15" customHeight="1" x14ac:dyDescent="0.35"/>
    <row r="274" ht="15" customHeight="1" x14ac:dyDescent="0.35"/>
    <row r="275" ht="15" customHeight="1" x14ac:dyDescent="0.35"/>
    <row r="276" ht="15" customHeight="1" x14ac:dyDescent="0.35"/>
    <row r="277" ht="15" customHeight="1" x14ac:dyDescent="0.35"/>
    <row r="278" ht="15" customHeight="1" x14ac:dyDescent="0.35"/>
    <row r="279" ht="15" customHeight="1" x14ac:dyDescent="0.35"/>
    <row r="280" ht="15" customHeight="1" x14ac:dyDescent="0.35"/>
    <row r="281" ht="15" customHeight="1" x14ac:dyDescent="0.35"/>
    <row r="282" ht="15" customHeight="1" x14ac:dyDescent="0.35"/>
    <row r="283" ht="15" customHeight="1" x14ac:dyDescent="0.35"/>
    <row r="284" ht="15" customHeight="1" x14ac:dyDescent="0.35"/>
    <row r="285" ht="15" customHeight="1" x14ac:dyDescent="0.35"/>
    <row r="286" ht="15" customHeight="1" x14ac:dyDescent="0.35"/>
    <row r="287" ht="15" customHeight="1" x14ac:dyDescent="0.35"/>
    <row r="288" ht="15" customHeight="1" x14ac:dyDescent="0.35"/>
    <row r="289" ht="15" customHeight="1" x14ac:dyDescent="0.35"/>
    <row r="290" ht="15" customHeight="1" x14ac:dyDescent="0.35"/>
    <row r="291" ht="15" customHeight="1" x14ac:dyDescent="0.35"/>
    <row r="292" ht="15" customHeight="1" x14ac:dyDescent="0.35"/>
    <row r="293" ht="15" customHeight="1" x14ac:dyDescent="0.35"/>
    <row r="294" ht="15" customHeight="1" x14ac:dyDescent="0.35"/>
    <row r="295" ht="15" customHeight="1" x14ac:dyDescent="0.35"/>
    <row r="296" ht="15" customHeight="1" x14ac:dyDescent="0.35"/>
    <row r="297" ht="15" customHeight="1" x14ac:dyDescent="0.35"/>
    <row r="298" ht="15" customHeight="1" x14ac:dyDescent="0.35"/>
    <row r="299" ht="15" customHeight="1" x14ac:dyDescent="0.35"/>
    <row r="300" ht="15" customHeight="1" x14ac:dyDescent="0.35"/>
    <row r="301" ht="15" customHeight="1" x14ac:dyDescent="0.35"/>
    <row r="302" ht="15" customHeight="1" x14ac:dyDescent="0.35"/>
    <row r="303" ht="15" customHeight="1" x14ac:dyDescent="0.35"/>
    <row r="304" ht="15" customHeight="1" x14ac:dyDescent="0.35"/>
    <row r="305" ht="15" customHeight="1" x14ac:dyDescent="0.35"/>
    <row r="306" ht="15" customHeight="1" x14ac:dyDescent="0.35"/>
    <row r="307" ht="15" customHeight="1" x14ac:dyDescent="0.35"/>
    <row r="308" ht="15" customHeight="1" x14ac:dyDescent="0.35"/>
    <row r="309" ht="15" customHeight="1" x14ac:dyDescent="0.35"/>
    <row r="310" ht="15" customHeight="1" x14ac:dyDescent="0.35"/>
    <row r="311" ht="15" customHeight="1" x14ac:dyDescent="0.35"/>
    <row r="312" ht="15" customHeight="1" x14ac:dyDescent="0.35"/>
    <row r="313" ht="15" customHeight="1" x14ac:dyDescent="0.35"/>
    <row r="314" ht="15" customHeight="1" x14ac:dyDescent="0.35"/>
    <row r="315" ht="15" customHeight="1" x14ac:dyDescent="0.35"/>
    <row r="316" ht="15" customHeight="1" x14ac:dyDescent="0.35"/>
    <row r="317" ht="15" customHeight="1" x14ac:dyDescent="0.35"/>
    <row r="318" ht="15" customHeight="1" x14ac:dyDescent="0.35"/>
    <row r="319" ht="15" customHeight="1" x14ac:dyDescent="0.35"/>
    <row r="320" ht="15" customHeight="1" x14ac:dyDescent="0.35"/>
    <row r="321" ht="15" customHeight="1" x14ac:dyDescent="0.35"/>
    <row r="322" ht="15" customHeight="1" x14ac:dyDescent="0.35"/>
    <row r="323" ht="15" customHeight="1" x14ac:dyDescent="0.35"/>
    <row r="324" ht="15" customHeight="1" x14ac:dyDescent="0.35"/>
    <row r="325" ht="15" customHeight="1" x14ac:dyDescent="0.35"/>
    <row r="326" ht="15" customHeight="1" x14ac:dyDescent="0.35"/>
    <row r="327" ht="15" customHeight="1" x14ac:dyDescent="0.35"/>
    <row r="328" ht="15" customHeight="1" x14ac:dyDescent="0.35"/>
    <row r="329" ht="15" customHeight="1" x14ac:dyDescent="0.35"/>
    <row r="330" ht="15" customHeight="1" x14ac:dyDescent="0.35"/>
    <row r="331" ht="15" customHeight="1" x14ac:dyDescent="0.35"/>
    <row r="332" ht="15" customHeight="1" x14ac:dyDescent="0.35"/>
    <row r="333" ht="15" customHeight="1" x14ac:dyDescent="0.35"/>
    <row r="334" ht="15" customHeight="1" x14ac:dyDescent="0.35"/>
    <row r="335" ht="15" customHeight="1" x14ac:dyDescent="0.35"/>
    <row r="336" ht="15" customHeight="1" x14ac:dyDescent="0.35"/>
    <row r="337" ht="15" customHeight="1" x14ac:dyDescent="0.35"/>
    <row r="338" ht="15" customHeight="1" x14ac:dyDescent="0.35"/>
    <row r="339" ht="15" customHeight="1" x14ac:dyDescent="0.35"/>
    <row r="340" ht="15" customHeight="1" x14ac:dyDescent="0.35"/>
    <row r="341" ht="15" customHeight="1" x14ac:dyDescent="0.35"/>
    <row r="342" ht="15" customHeight="1" x14ac:dyDescent="0.35"/>
    <row r="343" ht="15" customHeight="1" x14ac:dyDescent="0.35"/>
    <row r="344" ht="15" customHeight="1" x14ac:dyDescent="0.35"/>
    <row r="345" ht="15" customHeight="1" x14ac:dyDescent="0.35"/>
    <row r="346" ht="15" customHeight="1" x14ac:dyDescent="0.35"/>
    <row r="347" ht="15" customHeight="1" x14ac:dyDescent="0.35"/>
    <row r="348" ht="15" customHeight="1" x14ac:dyDescent="0.35"/>
    <row r="349" ht="15" customHeight="1" x14ac:dyDescent="0.35"/>
    <row r="350" ht="15" customHeight="1" x14ac:dyDescent="0.35"/>
    <row r="351" ht="15" customHeight="1" x14ac:dyDescent="0.35"/>
    <row r="352" ht="15" customHeight="1" x14ac:dyDescent="0.35"/>
    <row r="353" ht="15" customHeight="1" x14ac:dyDescent="0.35"/>
    <row r="354" ht="15" customHeight="1" x14ac:dyDescent="0.35"/>
    <row r="355" ht="15" customHeight="1" x14ac:dyDescent="0.35"/>
    <row r="356" ht="15" customHeight="1" x14ac:dyDescent="0.35"/>
    <row r="357" ht="15" customHeight="1" x14ac:dyDescent="0.35"/>
    <row r="358" ht="15" customHeight="1" x14ac:dyDescent="0.35"/>
    <row r="359" ht="15" customHeight="1" x14ac:dyDescent="0.35"/>
    <row r="360" ht="15" customHeight="1" x14ac:dyDescent="0.35"/>
    <row r="361" ht="15" customHeight="1" x14ac:dyDescent="0.35"/>
    <row r="362" ht="15" customHeight="1" x14ac:dyDescent="0.35"/>
    <row r="363" ht="15" customHeight="1" x14ac:dyDescent="0.35"/>
    <row r="364" ht="15" customHeight="1" x14ac:dyDescent="0.35"/>
    <row r="365" ht="15" customHeight="1" x14ac:dyDescent="0.35"/>
    <row r="366" ht="15" customHeight="1" x14ac:dyDescent="0.35"/>
    <row r="367" ht="15" customHeight="1" x14ac:dyDescent="0.35"/>
    <row r="368" ht="15" customHeight="1" x14ac:dyDescent="0.35"/>
    <row r="369" ht="15" customHeight="1" x14ac:dyDescent="0.35"/>
    <row r="370" ht="15" customHeight="1" x14ac:dyDescent="0.35"/>
    <row r="371" ht="15" customHeight="1" x14ac:dyDescent="0.35"/>
    <row r="372" ht="15" customHeight="1" x14ac:dyDescent="0.35"/>
    <row r="373" ht="15" customHeight="1" x14ac:dyDescent="0.35"/>
    <row r="374" ht="15" customHeight="1" x14ac:dyDescent="0.35"/>
    <row r="375" ht="15" customHeight="1" x14ac:dyDescent="0.35"/>
    <row r="376" ht="15" customHeight="1" x14ac:dyDescent="0.35"/>
    <row r="377" ht="15" customHeight="1" x14ac:dyDescent="0.35"/>
    <row r="378" ht="15" customHeight="1" x14ac:dyDescent="0.35"/>
    <row r="379" ht="15" customHeight="1" x14ac:dyDescent="0.35"/>
    <row r="380" ht="15" customHeight="1" x14ac:dyDescent="0.35"/>
    <row r="381" ht="15" customHeight="1" x14ac:dyDescent="0.35"/>
    <row r="382" ht="15" customHeight="1" x14ac:dyDescent="0.35"/>
    <row r="383" ht="15" customHeight="1" x14ac:dyDescent="0.35"/>
    <row r="384" ht="15" customHeight="1" x14ac:dyDescent="0.35"/>
    <row r="385" ht="15" customHeight="1" x14ac:dyDescent="0.35"/>
    <row r="386" ht="15" customHeight="1" x14ac:dyDescent="0.35"/>
    <row r="387" ht="15" customHeight="1" x14ac:dyDescent="0.35"/>
    <row r="388" ht="15" customHeight="1" x14ac:dyDescent="0.35"/>
    <row r="389" ht="15" customHeight="1" x14ac:dyDescent="0.35"/>
    <row r="390" ht="15" customHeight="1" x14ac:dyDescent="0.35"/>
    <row r="391" ht="15" customHeight="1" x14ac:dyDescent="0.35"/>
    <row r="392" ht="15" customHeight="1" x14ac:dyDescent="0.35"/>
    <row r="393" ht="15" customHeight="1" x14ac:dyDescent="0.35"/>
    <row r="394" ht="15" customHeight="1" x14ac:dyDescent="0.35"/>
    <row r="395" ht="15" customHeight="1" x14ac:dyDescent="0.35"/>
    <row r="396" ht="15" customHeight="1" x14ac:dyDescent="0.35"/>
    <row r="397" ht="15" customHeight="1" x14ac:dyDescent="0.35"/>
    <row r="398" ht="15" customHeight="1" x14ac:dyDescent="0.35"/>
    <row r="399" ht="15" customHeight="1" x14ac:dyDescent="0.35"/>
    <row r="400" ht="15" customHeight="1" x14ac:dyDescent="0.35"/>
    <row r="401" ht="15" customHeight="1" x14ac:dyDescent="0.35"/>
    <row r="402" ht="15" customHeight="1" x14ac:dyDescent="0.35"/>
    <row r="403" ht="15" customHeight="1" x14ac:dyDescent="0.35"/>
    <row r="404" ht="15" customHeight="1" x14ac:dyDescent="0.35"/>
    <row r="405" ht="15" customHeight="1" x14ac:dyDescent="0.35"/>
    <row r="406" ht="15" customHeight="1" x14ac:dyDescent="0.35"/>
    <row r="407" ht="15" customHeight="1" x14ac:dyDescent="0.35"/>
    <row r="408" ht="15" customHeight="1" x14ac:dyDescent="0.35"/>
    <row r="409" ht="15" customHeight="1" x14ac:dyDescent="0.35"/>
    <row r="410" ht="15" customHeight="1" x14ac:dyDescent="0.35"/>
    <row r="411" ht="15" customHeight="1" x14ac:dyDescent="0.35"/>
    <row r="412" ht="15" customHeight="1" x14ac:dyDescent="0.35"/>
    <row r="413" ht="15" customHeight="1" x14ac:dyDescent="0.35"/>
    <row r="414" ht="15" customHeight="1" x14ac:dyDescent="0.35"/>
    <row r="415" ht="15" customHeight="1" x14ac:dyDescent="0.35"/>
    <row r="416" ht="15" customHeight="1" x14ac:dyDescent="0.35"/>
    <row r="417" ht="15" customHeight="1" x14ac:dyDescent="0.35"/>
    <row r="418" ht="15" customHeight="1" x14ac:dyDescent="0.35"/>
    <row r="419" ht="15" customHeight="1" x14ac:dyDescent="0.35"/>
    <row r="420" ht="15" customHeight="1" x14ac:dyDescent="0.35"/>
    <row r="421" ht="15" customHeight="1" x14ac:dyDescent="0.35"/>
    <row r="422" ht="15" customHeight="1" x14ac:dyDescent="0.35"/>
    <row r="423" ht="15" customHeight="1" x14ac:dyDescent="0.35"/>
    <row r="424" ht="15" customHeight="1" x14ac:dyDescent="0.35"/>
    <row r="425" ht="15" customHeight="1" x14ac:dyDescent="0.35"/>
    <row r="426" ht="15" customHeight="1" x14ac:dyDescent="0.35"/>
    <row r="427" ht="15" customHeight="1" x14ac:dyDescent="0.35"/>
    <row r="428" ht="15" customHeight="1" x14ac:dyDescent="0.35"/>
    <row r="429" ht="15" customHeight="1" x14ac:dyDescent="0.35"/>
    <row r="430" ht="15" customHeight="1" x14ac:dyDescent="0.35"/>
    <row r="431" ht="15" customHeight="1" x14ac:dyDescent="0.35"/>
    <row r="432" ht="15" customHeight="1" x14ac:dyDescent="0.35"/>
    <row r="433" ht="15" customHeight="1" x14ac:dyDescent="0.35"/>
    <row r="434" ht="15" customHeight="1" x14ac:dyDescent="0.35"/>
    <row r="435" ht="15" customHeight="1" x14ac:dyDescent="0.35"/>
    <row r="436" ht="15" customHeight="1" x14ac:dyDescent="0.35"/>
    <row r="437" ht="15" customHeight="1" x14ac:dyDescent="0.35"/>
    <row r="438" ht="15" customHeight="1" x14ac:dyDescent="0.35"/>
    <row r="439" ht="15" customHeight="1" x14ac:dyDescent="0.35"/>
    <row r="440" ht="15" customHeight="1" x14ac:dyDescent="0.35"/>
    <row r="441" ht="15" customHeight="1" x14ac:dyDescent="0.35"/>
    <row r="442" ht="15" customHeight="1" x14ac:dyDescent="0.35"/>
    <row r="443" ht="15" customHeight="1" x14ac:dyDescent="0.35"/>
    <row r="444" ht="15" customHeight="1" x14ac:dyDescent="0.35"/>
    <row r="445" ht="15" customHeight="1" x14ac:dyDescent="0.35"/>
    <row r="446" ht="15" customHeight="1" x14ac:dyDescent="0.35"/>
    <row r="447" ht="15" customHeight="1" x14ac:dyDescent="0.35"/>
    <row r="448" ht="15" customHeight="1" x14ac:dyDescent="0.35"/>
    <row r="449" ht="15" customHeight="1" x14ac:dyDescent="0.35"/>
    <row r="450" ht="15" customHeight="1" x14ac:dyDescent="0.35"/>
    <row r="451" ht="15" customHeight="1" x14ac:dyDescent="0.35"/>
    <row r="452" ht="15" customHeight="1" x14ac:dyDescent="0.35"/>
    <row r="453" ht="15" customHeight="1" x14ac:dyDescent="0.35"/>
    <row r="454" ht="15" customHeight="1" x14ac:dyDescent="0.35"/>
    <row r="455" ht="15" customHeight="1" x14ac:dyDescent="0.35"/>
    <row r="456" ht="15" customHeight="1" x14ac:dyDescent="0.35"/>
    <row r="457" ht="15" customHeight="1" x14ac:dyDescent="0.35"/>
    <row r="458" ht="15" customHeight="1" x14ac:dyDescent="0.35"/>
    <row r="459" ht="15" customHeight="1" x14ac:dyDescent="0.35"/>
    <row r="460" ht="15" customHeight="1" x14ac:dyDescent="0.35"/>
    <row r="461" ht="15" customHeight="1" x14ac:dyDescent="0.35"/>
    <row r="462" ht="15" customHeight="1" x14ac:dyDescent="0.35"/>
    <row r="463" ht="15" customHeight="1" x14ac:dyDescent="0.35"/>
    <row r="464" ht="15" customHeight="1" x14ac:dyDescent="0.35"/>
    <row r="465" ht="15" customHeight="1" x14ac:dyDescent="0.35"/>
    <row r="466" ht="15" customHeight="1" x14ac:dyDescent="0.35"/>
    <row r="467" ht="15" customHeight="1" x14ac:dyDescent="0.35"/>
    <row r="468" ht="15" customHeight="1" x14ac:dyDescent="0.35"/>
    <row r="469" ht="15" customHeight="1" x14ac:dyDescent="0.35"/>
    <row r="470" ht="15" customHeight="1" x14ac:dyDescent="0.35"/>
    <row r="471" ht="15" customHeight="1" x14ac:dyDescent="0.35"/>
    <row r="472" ht="15" customHeight="1" x14ac:dyDescent="0.35"/>
    <row r="473" ht="15" customHeight="1" x14ac:dyDescent="0.35"/>
    <row r="474" ht="15" customHeight="1" x14ac:dyDescent="0.35"/>
    <row r="475" ht="15" customHeight="1" x14ac:dyDescent="0.35"/>
    <row r="476" ht="15" customHeight="1" x14ac:dyDescent="0.35"/>
    <row r="477" ht="15" customHeight="1" x14ac:dyDescent="0.35"/>
    <row r="478" ht="15" customHeight="1" x14ac:dyDescent="0.35"/>
    <row r="479" ht="15" customHeight="1" x14ac:dyDescent="0.35"/>
    <row r="480" ht="15" customHeight="1" x14ac:dyDescent="0.35"/>
    <row r="481" ht="15" customHeight="1" x14ac:dyDescent="0.35"/>
    <row r="482" ht="15" customHeight="1" x14ac:dyDescent="0.35"/>
    <row r="483" ht="15" customHeight="1" x14ac:dyDescent="0.35"/>
    <row r="484" ht="15" customHeight="1" x14ac:dyDescent="0.35"/>
    <row r="485" ht="15" customHeight="1" x14ac:dyDescent="0.35"/>
    <row r="486" ht="15" customHeight="1" x14ac:dyDescent="0.35"/>
    <row r="487" ht="15" customHeight="1" x14ac:dyDescent="0.35"/>
    <row r="488" ht="15" customHeight="1" x14ac:dyDescent="0.35"/>
    <row r="489" ht="15" customHeight="1" x14ac:dyDescent="0.35"/>
    <row r="490" ht="15" customHeight="1" x14ac:dyDescent="0.35"/>
    <row r="491" ht="15" customHeight="1" x14ac:dyDescent="0.35"/>
    <row r="492" ht="15" customHeight="1" x14ac:dyDescent="0.35"/>
    <row r="493" ht="15" customHeight="1" x14ac:dyDescent="0.35"/>
    <row r="494" ht="15" customHeight="1" x14ac:dyDescent="0.35"/>
    <row r="495" ht="15" customHeight="1" x14ac:dyDescent="0.35"/>
    <row r="496" ht="15" customHeight="1" x14ac:dyDescent="0.35"/>
    <row r="497" ht="15" customHeight="1" x14ac:dyDescent="0.35"/>
    <row r="498" ht="15" customHeight="1" x14ac:dyDescent="0.35"/>
    <row r="499" ht="15" customHeight="1" x14ac:dyDescent="0.35"/>
    <row r="500" ht="15" customHeight="1" x14ac:dyDescent="0.35"/>
    <row r="501" ht="15" customHeight="1" x14ac:dyDescent="0.35"/>
    <row r="502" ht="15" customHeight="1" x14ac:dyDescent="0.35"/>
    <row r="503" ht="15" customHeight="1" x14ac:dyDescent="0.35"/>
    <row r="504" ht="15" customHeight="1" x14ac:dyDescent="0.35"/>
    <row r="505" ht="15" customHeight="1" x14ac:dyDescent="0.35"/>
    <row r="506" ht="15" customHeight="1" x14ac:dyDescent="0.35"/>
    <row r="507" ht="15" customHeight="1" x14ac:dyDescent="0.35"/>
    <row r="508" ht="15" customHeight="1" x14ac:dyDescent="0.35"/>
    <row r="509" ht="15" customHeight="1" x14ac:dyDescent="0.35"/>
    <row r="510" ht="15" customHeight="1" x14ac:dyDescent="0.35"/>
    <row r="511" ht="15" customHeight="1" x14ac:dyDescent="0.35"/>
    <row r="512" ht="15" customHeight="1" x14ac:dyDescent="0.35"/>
    <row r="513" ht="15" customHeight="1" x14ac:dyDescent="0.35"/>
    <row r="514" ht="15" customHeight="1" x14ac:dyDescent="0.35"/>
    <row r="515" ht="15" customHeight="1" x14ac:dyDescent="0.35"/>
    <row r="516" ht="15" customHeight="1" x14ac:dyDescent="0.35"/>
    <row r="517" ht="15" customHeight="1" x14ac:dyDescent="0.35"/>
    <row r="518" ht="15" customHeight="1" x14ac:dyDescent="0.35"/>
    <row r="519" ht="15" customHeight="1" x14ac:dyDescent="0.35"/>
    <row r="520" ht="15" customHeight="1" x14ac:dyDescent="0.35"/>
    <row r="521" ht="15" customHeight="1" x14ac:dyDescent="0.35"/>
    <row r="522" ht="15" customHeight="1" x14ac:dyDescent="0.35"/>
    <row r="523" ht="15" customHeight="1" x14ac:dyDescent="0.35"/>
    <row r="524" ht="15" customHeight="1" x14ac:dyDescent="0.35"/>
    <row r="525" ht="15" customHeight="1" x14ac:dyDescent="0.35"/>
    <row r="526" ht="15" customHeight="1" x14ac:dyDescent="0.35"/>
    <row r="527" ht="15" customHeight="1" x14ac:dyDescent="0.35"/>
    <row r="528" ht="15" customHeight="1" x14ac:dyDescent="0.35"/>
    <row r="529" ht="15" customHeight="1" x14ac:dyDescent="0.35"/>
    <row r="530" ht="15" customHeight="1" x14ac:dyDescent="0.35"/>
    <row r="531" ht="15" customHeight="1" x14ac:dyDescent="0.35"/>
    <row r="532" ht="15" customHeight="1" x14ac:dyDescent="0.35"/>
    <row r="533" ht="15" customHeight="1" x14ac:dyDescent="0.35"/>
    <row r="534" ht="15" customHeight="1" x14ac:dyDescent="0.35"/>
    <row r="535" ht="15" customHeight="1" x14ac:dyDescent="0.35"/>
    <row r="536" ht="15" customHeight="1" x14ac:dyDescent="0.35"/>
    <row r="537" ht="15" customHeight="1" x14ac:dyDescent="0.35"/>
    <row r="538" ht="15" customHeight="1" x14ac:dyDescent="0.35"/>
    <row r="539" ht="15" customHeight="1" x14ac:dyDescent="0.35"/>
    <row r="540" ht="15" customHeight="1" x14ac:dyDescent="0.35"/>
    <row r="541" ht="15" customHeight="1" x14ac:dyDescent="0.35"/>
    <row r="542" ht="15" customHeight="1" x14ac:dyDescent="0.35"/>
    <row r="543" ht="15" customHeight="1" x14ac:dyDescent="0.35"/>
    <row r="544" ht="15" customHeight="1" x14ac:dyDescent="0.35"/>
    <row r="545" ht="15" customHeight="1" x14ac:dyDescent="0.35"/>
    <row r="546" ht="15" customHeight="1" x14ac:dyDescent="0.35"/>
    <row r="547" ht="15" customHeight="1" x14ac:dyDescent="0.35"/>
    <row r="548" ht="15" customHeight="1" x14ac:dyDescent="0.35"/>
    <row r="549" ht="15" customHeight="1" x14ac:dyDescent="0.35"/>
    <row r="550" ht="15" customHeight="1" x14ac:dyDescent="0.35"/>
    <row r="551" ht="15" customHeight="1" x14ac:dyDescent="0.35"/>
    <row r="552" ht="15" customHeight="1" x14ac:dyDescent="0.35"/>
    <row r="553" ht="15" customHeight="1" x14ac:dyDescent="0.35"/>
    <row r="554" ht="15" customHeight="1" x14ac:dyDescent="0.35"/>
    <row r="555" ht="15" customHeight="1" x14ac:dyDescent="0.35"/>
    <row r="556" ht="15" customHeight="1" x14ac:dyDescent="0.35"/>
    <row r="557" ht="15" customHeight="1" x14ac:dyDescent="0.35"/>
    <row r="558" ht="15" customHeight="1" x14ac:dyDescent="0.35"/>
    <row r="559" ht="15" customHeight="1" x14ac:dyDescent="0.35"/>
    <row r="560" ht="15" customHeight="1" x14ac:dyDescent="0.35"/>
    <row r="561" ht="15" customHeight="1" x14ac:dyDescent="0.35"/>
    <row r="562" ht="15" customHeight="1" x14ac:dyDescent="0.35"/>
    <row r="563" ht="15" customHeight="1" x14ac:dyDescent="0.35"/>
    <row r="564" ht="15" customHeight="1" x14ac:dyDescent="0.35"/>
    <row r="565" ht="15" customHeight="1" x14ac:dyDescent="0.35"/>
    <row r="566" ht="15" customHeight="1" x14ac:dyDescent="0.35"/>
    <row r="567" ht="15" customHeight="1" x14ac:dyDescent="0.35"/>
    <row r="568" ht="15" customHeight="1" x14ac:dyDescent="0.35"/>
    <row r="569" ht="15" customHeight="1" x14ac:dyDescent="0.35"/>
    <row r="570" ht="15" customHeight="1" x14ac:dyDescent="0.35"/>
    <row r="571" ht="15" customHeight="1" x14ac:dyDescent="0.35"/>
    <row r="572" ht="15" customHeight="1" x14ac:dyDescent="0.35"/>
    <row r="573" ht="15" customHeight="1" x14ac:dyDescent="0.35"/>
    <row r="574" ht="15" customHeight="1" x14ac:dyDescent="0.35"/>
    <row r="575" ht="15" customHeight="1" x14ac:dyDescent="0.35"/>
    <row r="576" ht="15" customHeight="1" x14ac:dyDescent="0.35"/>
    <row r="577" ht="15" customHeight="1" x14ac:dyDescent="0.35"/>
    <row r="578" ht="15" customHeight="1" x14ac:dyDescent="0.35"/>
    <row r="579" ht="15" customHeight="1" x14ac:dyDescent="0.35"/>
    <row r="580" ht="15" customHeight="1" x14ac:dyDescent="0.35"/>
    <row r="581" ht="15" customHeight="1" x14ac:dyDescent="0.35"/>
    <row r="582" ht="15" customHeight="1" x14ac:dyDescent="0.35"/>
    <row r="583" ht="15" customHeight="1" x14ac:dyDescent="0.35"/>
    <row r="584" ht="15" customHeight="1" x14ac:dyDescent="0.35"/>
    <row r="585" ht="15" customHeight="1" x14ac:dyDescent="0.35"/>
    <row r="586" ht="15" customHeight="1" x14ac:dyDescent="0.35"/>
    <row r="587" ht="15" customHeight="1" x14ac:dyDescent="0.35"/>
    <row r="588" ht="15" customHeight="1" x14ac:dyDescent="0.35"/>
    <row r="589" ht="15" customHeight="1" x14ac:dyDescent="0.35"/>
    <row r="590" ht="15" customHeight="1" x14ac:dyDescent="0.35"/>
    <row r="591" ht="15" customHeight="1" x14ac:dyDescent="0.35"/>
    <row r="592"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sheetData>
  <sheetProtection algorithmName="SHA-512" hashValue="QAG3YaAkSUvcX8COYvqW5yq9jwP/28RF11WIuHDerm1qinCJ0Y96iUsWqdbvRvptFMRo5OwYnl50J0HqN8oqoA==" saltValue="AWXIAdQGMMO+SZb8JqfTNg==" spinCount="100000" sheet="1" selectLockedCells="1"/>
  <mergeCells count="3">
    <mergeCell ref="A1:J1"/>
    <mergeCell ref="A2:J2"/>
    <mergeCell ref="E6:G6"/>
  </mergeCells>
  <phoneticPr fontId="2" type="noConversion"/>
  <printOptions horizontalCentered="1" gridLinesSet="0"/>
  <pageMargins left="0.25" right="0.19" top="0.3" bottom="0.21" header="0.3" footer="0.2"/>
  <pageSetup scale="8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36"/>
  <sheetViews>
    <sheetView showGridLines="0" zoomScaleNormal="100" workbookViewId="0">
      <selection activeCell="L11" sqref="L11"/>
    </sheetView>
  </sheetViews>
  <sheetFormatPr defaultColWidth="9.59765625" defaultRowHeight="15" customHeight="1" x14ac:dyDescent="0.15"/>
  <cols>
    <col min="1" max="1" width="15.59765625" style="28" customWidth="1"/>
    <col min="2" max="2" width="17.796875" style="28" customWidth="1"/>
    <col min="3" max="3" width="12.796875" style="28" customWidth="1"/>
    <col min="4" max="4" width="17.3984375" style="28" customWidth="1"/>
    <col min="5" max="5" width="14.796875" style="28" hidden="1" customWidth="1"/>
    <col min="6" max="6" width="12.796875" style="28" hidden="1" customWidth="1"/>
    <col min="7" max="7" width="17.3984375" style="28" hidden="1" customWidth="1"/>
    <col min="8" max="8" width="14.3984375" style="28" customWidth="1"/>
    <col min="9" max="9" width="5.59765625" style="28" customWidth="1"/>
    <col min="10" max="10" width="25" style="28" customWidth="1"/>
    <col min="11" max="11" width="5.59765625" style="28" customWidth="1"/>
    <col min="12" max="12" width="22.19921875" style="28" customWidth="1"/>
    <col min="13" max="16384" width="9.59765625" style="28"/>
  </cols>
  <sheetData>
    <row r="1" spans="1:13" ht="29.25" customHeight="1" x14ac:dyDescent="0.45">
      <c r="A1" s="329" t="s">
        <v>67</v>
      </c>
      <c r="B1" s="330"/>
      <c r="C1" s="330"/>
      <c r="D1" s="330"/>
      <c r="E1" s="330"/>
      <c r="F1" s="330"/>
      <c r="G1" s="330"/>
      <c r="H1" s="330"/>
      <c r="I1" s="330"/>
      <c r="J1" s="330"/>
      <c r="K1" s="330"/>
      <c r="L1" s="330"/>
    </row>
    <row r="2" spans="1:13" s="59" customFormat="1" ht="15" customHeight="1" x14ac:dyDescent="0.35">
      <c r="A2" s="427" t="str">
        <f>'Budget Plan '!A2:I2</f>
        <v>FY2024</v>
      </c>
      <c r="B2" s="427"/>
      <c r="C2" s="427"/>
      <c r="D2" s="427"/>
      <c r="E2" s="427"/>
      <c r="F2" s="427"/>
      <c r="G2" s="427"/>
      <c r="H2" s="427"/>
      <c r="I2" s="427"/>
      <c r="J2" s="427"/>
      <c r="K2" s="234"/>
      <c r="L2" s="331"/>
    </row>
    <row r="3" spans="1:13" s="59" customFormat="1" ht="15" customHeight="1" x14ac:dyDescent="0.35">
      <c r="A3" s="231"/>
      <c r="B3" s="231"/>
      <c r="C3" s="231"/>
      <c r="D3" s="231"/>
      <c r="E3" s="231"/>
      <c r="F3" s="231"/>
      <c r="G3" s="231"/>
      <c r="H3" s="231"/>
      <c r="I3" s="231"/>
      <c r="J3" s="231"/>
      <c r="K3" s="231"/>
      <c r="L3" s="232"/>
    </row>
    <row r="4" spans="1:13" s="59" customFormat="1" ht="15" customHeight="1" x14ac:dyDescent="0.35">
      <c r="A4" s="29" t="s">
        <v>42</v>
      </c>
      <c r="B4" s="30"/>
      <c r="C4" s="231"/>
      <c r="D4" s="29" t="s">
        <v>18</v>
      </c>
      <c r="E4" s="231"/>
      <c r="F4" s="231"/>
      <c r="G4" s="231"/>
      <c r="H4" s="30"/>
      <c r="I4" s="30"/>
      <c r="J4" s="157" t="s">
        <v>103</v>
      </c>
      <c r="K4" s="157"/>
      <c r="L4" s="157" t="s">
        <v>104</v>
      </c>
    </row>
    <row r="5" spans="1:13" s="59" customFormat="1" ht="15" customHeight="1" x14ac:dyDescent="0.35">
      <c r="A5" s="32">
        <f>'Budget Plan '!A4</f>
        <v>0</v>
      </c>
      <c r="B5" s="33"/>
      <c r="D5" s="435">
        <f>'Budget Plan '!C4</f>
        <v>0</v>
      </c>
      <c r="E5" s="435"/>
      <c r="F5" s="435"/>
      <c r="G5" s="435"/>
      <c r="H5" s="435"/>
      <c r="I5" s="168"/>
      <c r="J5" s="35">
        <f>'Budget Plan '!F4</f>
        <v>0</v>
      </c>
      <c r="K5" s="169"/>
      <c r="L5" s="36">
        <f>'Budget Plan '!H4</f>
        <v>0</v>
      </c>
    </row>
    <row r="6" spans="1:13" s="59" customFormat="1" ht="15" customHeight="1" x14ac:dyDescent="0.35">
      <c r="I6" s="78"/>
      <c r="J6" s="233"/>
      <c r="K6" s="233"/>
      <c r="L6" s="233"/>
    </row>
    <row r="7" spans="1:13" s="59" customFormat="1" ht="15" customHeight="1" x14ac:dyDescent="0.35">
      <c r="A7" s="434" t="s">
        <v>68</v>
      </c>
      <c r="B7" s="434"/>
      <c r="C7" s="434"/>
      <c r="D7" s="434"/>
      <c r="E7" s="434"/>
      <c r="F7" s="434"/>
      <c r="G7" s="434"/>
      <c r="J7" s="233"/>
      <c r="K7" s="233"/>
      <c r="L7" s="233"/>
    </row>
    <row r="8" spans="1:13" s="216" customFormat="1" ht="15" customHeight="1" x14ac:dyDescent="0.35">
      <c r="A8" s="215" t="s">
        <v>69</v>
      </c>
      <c r="B8" s="215" t="s">
        <v>70</v>
      </c>
      <c r="C8" s="215" t="s">
        <v>71</v>
      </c>
      <c r="D8" s="215" t="s">
        <v>72</v>
      </c>
      <c r="E8" s="215" t="s">
        <v>73</v>
      </c>
      <c r="F8" s="215" t="s">
        <v>74</v>
      </c>
      <c r="G8" s="215" t="s">
        <v>75</v>
      </c>
      <c r="J8" s="106"/>
      <c r="K8" s="106"/>
    </row>
    <row r="9" spans="1:13" s="59" customFormat="1" ht="15" customHeight="1" x14ac:dyDescent="0.35">
      <c r="A9" s="296">
        <v>1</v>
      </c>
      <c r="B9" s="296">
        <v>240</v>
      </c>
      <c r="C9" s="296">
        <v>4</v>
      </c>
      <c r="D9" s="296">
        <f>B9*4</f>
        <v>960</v>
      </c>
      <c r="E9" s="217">
        <v>8.2100000000000009</v>
      </c>
      <c r="F9" s="217">
        <f>E9*C9</f>
        <v>32.840000000000003</v>
      </c>
      <c r="G9" s="217">
        <f>E9*D9</f>
        <v>7881.6</v>
      </c>
      <c r="H9" s="93"/>
      <c r="I9" s="93"/>
      <c r="J9" s="218"/>
      <c r="K9" s="218"/>
    </row>
    <row r="10" spans="1:13" s="59" customFormat="1" ht="15" customHeight="1" thickBot="1" x14ac:dyDescent="0.4">
      <c r="A10" s="219"/>
      <c r="B10" s="219"/>
      <c r="C10" s="219"/>
      <c r="D10" s="220" t="s">
        <v>40</v>
      </c>
      <c r="E10" s="221">
        <v>3.56</v>
      </c>
      <c r="F10" s="222"/>
      <c r="G10" s="223"/>
    </row>
    <row r="11" spans="1:13" s="59" customFormat="1" ht="15" customHeight="1" thickBot="1" x14ac:dyDescent="0.4">
      <c r="A11" s="219"/>
      <c r="B11" s="219"/>
      <c r="C11" s="219"/>
      <c r="D11" s="219"/>
      <c r="E11" s="222"/>
      <c r="F11" s="222"/>
      <c r="G11" s="223"/>
      <c r="J11" s="111" t="s">
        <v>66</v>
      </c>
      <c r="K11" s="111"/>
      <c r="L11" s="297"/>
    </row>
    <row r="12" spans="1:13" s="59" customFormat="1" ht="15" customHeight="1" x14ac:dyDescent="0.35">
      <c r="A12" s="296">
        <v>2</v>
      </c>
      <c r="B12" s="296">
        <f>B9*2</f>
        <v>480</v>
      </c>
      <c r="C12" s="296">
        <v>8</v>
      </c>
      <c r="D12" s="296">
        <f>B12*4</f>
        <v>1920</v>
      </c>
      <c r="E12" s="224">
        <v>5.89</v>
      </c>
      <c r="F12" s="224">
        <f>E12*C12</f>
        <v>47.12</v>
      </c>
      <c r="G12" s="224">
        <f>E12*D12</f>
        <v>11308.8</v>
      </c>
      <c r="J12" s="225" t="s">
        <v>76</v>
      </c>
      <c r="K12" s="225"/>
      <c r="L12" s="226">
        <v>961</v>
      </c>
      <c r="M12" s="226" t="s">
        <v>77</v>
      </c>
    </row>
    <row r="13" spans="1:13" s="59" customFormat="1" ht="15" customHeight="1" x14ac:dyDescent="0.35">
      <c r="A13" s="219"/>
      <c r="B13" s="219"/>
      <c r="C13" s="219"/>
      <c r="D13" s="219"/>
      <c r="E13" s="222"/>
      <c r="F13" s="222"/>
      <c r="G13" s="223"/>
      <c r="J13" s="225"/>
      <c r="K13" s="225"/>
      <c r="L13" s="226"/>
      <c r="M13" s="226"/>
    </row>
    <row r="14" spans="1:13" s="59" customFormat="1" ht="15" customHeight="1" x14ac:dyDescent="0.35">
      <c r="A14" s="219"/>
      <c r="B14" s="219"/>
      <c r="C14" s="219"/>
      <c r="D14" s="219"/>
      <c r="E14" s="222"/>
      <c r="F14" s="222"/>
      <c r="G14" s="223"/>
      <c r="J14" s="225" t="s">
        <v>78</v>
      </c>
      <c r="K14" s="225"/>
      <c r="L14" s="226">
        <f>IF(L12,L11*E9,((L11-960)*E10)+(960*E9))</f>
        <v>0</v>
      </c>
      <c r="M14" s="226" t="s">
        <v>79</v>
      </c>
    </row>
    <row r="15" spans="1:13" s="59" customFormat="1" ht="15" customHeight="1" x14ac:dyDescent="0.35">
      <c r="A15" s="296">
        <v>3</v>
      </c>
      <c r="B15" s="296">
        <f>B9*3</f>
        <v>720</v>
      </c>
      <c r="C15" s="296">
        <v>12</v>
      </c>
      <c r="D15" s="296">
        <f>B15*4</f>
        <v>2880</v>
      </c>
      <c r="E15" s="156">
        <v>5.1100000000000003</v>
      </c>
      <c r="F15" s="156">
        <f>E15*C15</f>
        <v>61.320000000000007</v>
      </c>
      <c r="G15" s="156">
        <f>E15*D15</f>
        <v>14716.800000000001</v>
      </c>
      <c r="J15" s="225" t="s">
        <v>80</v>
      </c>
      <c r="K15" s="225"/>
      <c r="L15" s="226">
        <f>(K22-1)*(E10*4)+F9</f>
        <v>32.840000000000003</v>
      </c>
      <c r="M15" s="226" t="s">
        <v>79</v>
      </c>
    </row>
    <row r="16" spans="1:13" s="59" customFormat="1" ht="15" customHeight="1" x14ac:dyDescent="0.35">
      <c r="A16" s="219"/>
      <c r="B16" s="219"/>
      <c r="C16" s="219"/>
      <c r="D16" s="219"/>
      <c r="E16" s="222"/>
      <c r="F16" s="222"/>
      <c r="G16" s="223"/>
      <c r="J16" s="225" t="s">
        <v>81</v>
      </c>
      <c r="K16" s="225"/>
      <c r="L16" s="226">
        <f>IFERROR(L15/K21,0)</f>
        <v>8.2100000000000009</v>
      </c>
      <c r="M16" s="226" t="s">
        <v>79</v>
      </c>
    </row>
    <row r="17" spans="1:15" s="59" customFormat="1" ht="15" customHeight="1" x14ac:dyDescent="0.35">
      <c r="A17" s="219"/>
      <c r="B17" s="219"/>
      <c r="C17" s="219"/>
      <c r="D17" s="219"/>
      <c r="E17" s="222"/>
      <c r="F17" s="222"/>
      <c r="G17" s="223"/>
      <c r="K17" s="78"/>
    </row>
    <row r="18" spans="1:15" s="59" customFormat="1" ht="15" customHeight="1" x14ac:dyDescent="0.35">
      <c r="A18" s="296">
        <v>4</v>
      </c>
      <c r="B18" s="296">
        <f>B9*4</f>
        <v>960</v>
      </c>
      <c r="C18" s="296">
        <v>16</v>
      </c>
      <c r="D18" s="296">
        <f>B18*4</f>
        <v>3840</v>
      </c>
      <c r="E18" s="227">
        <v>4.7300000000000004</v>
      </c>
      <c r="F18" s="227">
        <f>E18*C18</f>
        <v>75.680000000000007</v>
      </c>
      <c r="G18" s="227">
        <f>E18*D18</f>
        <v>18163.2</v>
      </c>
    </row>
    <row r="19" spans="1:15" s="59" customFormat="1" ht="15" customHeight="1" x14ac:dyDescent="0.35">
      <c r="A19" s="219"/>
      <c r="B19" s="219"/>
      <c r="C19" s="219"/>
      <c r="D19" s="219"/>
      <c r="E19" s="222"/>
      <c r="F19" s="222"/>
      <c r="G19" s="223"/>
    </row>
    <row r="20" spans="1:15" s="59" customFormat="1" ht="15" customHeight="1" x14ac:dyDescent="0.35">
      <c r="A20" s="219"/>
      <c r="B20" s="219"/>
      <c r="C20" s="219"/>
      <c r="D20" s="219"/>
      <c r="E20" s="222"/>
      <c r="F20" s="222"/>
      <c r="G20" s="223"/>
      <c r="K20" s="103"/>
    </row>
    <row r="21" spans="1:15" s="59" customFormat="1" ht="15" customHeight="1" x14ac:dyDescent="0.35">
      <c r="A21" s="296">
        <v>5</v>
      </c>
      <c r="B21" s="296">
        <f>B9*5</f>
        <v>1200</v>
      </c>
      <c r="C21" s="296">
        <v>20</v>
      </c>
      <c r="D21" s="296">
        <f>B21*4</f>
        <v>4800</v>
      </c>
      <c r="E21" s="149">
        <v>4.5</v>
      </c>
      <c r="F21" s="149">
        <f>E21*C21</f>
        <v>90</v>
      </c>
      <c r="G21" s="149">
        <f>E21*D21</f>
        <v>21600</v>
      </c>
      <c r="J21" s="250" t="s">
        <v>71</v>
      </c>
      <c r="K21" s="436">
        <f>K22*4</f>
        <v>4</v>
      </c>
      <c r="L21" s="437"/>
    </row>
    <row r="22" spans="1:15" s="59" customFormat="1" ht="15" customHeight="1" x14ac:dyDescent="0.35">
      <c r="A22" s="219"/>
      <c r="B22" s="219"/>
      <c r="C22" s="219"/>
      <c r="D22" s="219"/>
      <c r="E22" s="222"/>
      <c r="F22" s="222"/>
      <c r="G22" s="223"/>
      <c r="J22" s="250" t="s">
        <v>69</v>
      </c>
      <c r="K22" s="436">
        <f>IF(L11&lt;=960,1,L11/960)</f>
        <v>1</v>
      </c>
      <c r="L22" s="437"/>
    </row>
    <row r="23" spans="1:15" s="59" customFormat="1" ht="15" customHeight="1" x14ac:dyDescent="0.35">
      <c r="A23" s="219"/>
      <c r="B23" s="219"/>
      <c r="C23" s="219"/>
      <c r="D23" s="219"/>
      <c r="E23" s="222"/>
      <c r="F23" s="222"/>
      <c r="G23" s="223"/>
    </row>
    <row r="24" spans="1:15" s="59" customFormat="1" ht="15" customHeight="1" x14ac:dyDescent="0.35">
      <c r="A24" s="296">
        <v>6</v>
      </c>
      <c r="B24" s="296">
        <f>B9*6</f>
        <v>1440</v>
      </c>
      <c r="C24" s="296">
        <v>24</v>
      </c>
      <c r="D24" s="296">
        <f>B24*4</f>
        <v>5760</v>
      </c>
      <c r="E24" s="230">
        <v>4.34</v>
      </c>
      <c r="F24" s="230">
        <f>E24*C24</f>
        <v>104.16</v>
      </c>
      <c r="G24" s="230">
        <f>E24*D24</f>
        <v>24998.399999999998</v>
      </c>
      <c r="J24" s="250" t="s">
        <v>73</v>
      </c>
      <c r="K24" s="432">
        <f>ROUND(ROUND(ROUND(ROUND(ROUND(L32*1.0096,2)*1.005772,2)*'rate increase'!C2,2)*'rate increase'!C3,2)*'rate increase'!C6,2)</f>
        <v>13.53</v>
      </c>
      <c r="L24" s="433"/>
    </row>
    <row r="25" spans="1:15" s="59" customFormat="1" ht="15" customHeight="1" x14ac:dyDescent="0.35"/>
    <row r="26" spans="1:15" ht="15" customHeight="1" x14ac:dyDescent="0.15">
      <c r="K26" s="73"/>
    </row>
    <row r="27" spans="1:15" ht="15" customHeight="1" x14ac:dyDescent="0.25">
      <c r="A27" s="1" t="str">
        <f>'Budget Plan '!A24</f>
        <v>Revised 7/1/2023</v>
      </c>
      <c r="K27" s="73"/>
    </row>
    <row r="28" spans="1:15" ht="15" customHeight="1" x14ac:dyDescent="0.25">
      <c r="A28" s="4" t="s">
        <v>43</v>
      </c>
    </row>
    <row r="29" spans="1:15" ht="15" customHeight="1" x14ac:dyDescent="0.35">
      <c r="A29" s="4" t="s">
        <v>6</v>
      </c>
      <c r="J29" s="111"/>
      <c r="K29" s="111"/>
      <c r="L29" s="59"/>
      <c r="O29" s="37"/>
    </row>
    <row r="30" spans="1:15" ht="15" hidden="1" customHeight="1" x14ac:dyDescent="0.35">
      <c r="J30" s="228" t="s">
        <v>75</v>
      </c>
      <c r="K30" s="228"/>
      <c r="L30" s="229">
        <f>ROUND(ROUND(ROUND(ROUND(ROUND(ROUND(IF(L14&lt;=G24,ROUND(L14*1.029,2),ROUND(G24*1.029,2))*1.008,2)*1.105,2)*1.0018,2)*1.08,2)*1.03,2)*1.021,2)</f>
        <v>0</v>
      </c>
      <c r="O30" s="37"/>
    </row>
    <row r="31" spans="1:15" ht="15" hidden="1" customHeight="1" x14ac:dyDescent="0.35">
      <c r="J31" s="228" t="s">
        <v>74</v>
      </c>
      <c r="K31" s="228"/>
      <c r="L31" s="229">
        <f>ROUND(ROUND(ROUND(ROUND(ROUND(ROUND(IF(L15&lt;=F24,ROUND(L15*1.029,2),ROUND(F24*1.029,2))*1.008,2)*1.105,2)*1.0018,2)*1.08,2)*1.03,2)*1.021,2)</f>
        <v>42.83</v>
      </c>
    </row>
    <row r="32" spans="1:15" ht="15" hidden="1" customHeight="1" x14ac:dyDescent="0.35">
      <c r="J32" s="228" t="s">
        <v>73</v>
      </c>
      <c r="K32" s="228"/>
      <c r="L32" s="229">
        <f>ROUND(ROUND(ROUND(ROUND(ROUND(ROUND(IF(L16&gt;=E24,ROUND(L16*1.029,2),ROUND(E24*1.029,2))*1.008,2)*1.105,2)*1.0018,2)*1.08,2)*1.03,2)*1.021,2)</f>
        <v>10.71</v>
      </c>
    </row>
    <row r="33" spans="1:12" ht="15" hidden="1" customHeight="1" x14ac:dyDescent="0.15"/>
    <row r="34" spans="1:12" ht="15" customHeight="1" x14ac:dyDescent="0.15">
      <c r="K34" s="37"/>
      <c r="L34" s="37"/>
    </row>
    <row r="36" spans="1:12" ht="15" hidden="1" customHeight="1" x14ac:dyDescent="0.35">
      <c r="A36" s="250" t="s">
        <v>75</v>
      </c>
      <c r="B36" s="432">
        <f>ROUND(ROUND(ROUND(ROUND(ROUND(L30*1.0096,2)*1.005772,2)*'rate increase'!C2,2)*'rate increase'!C3,2)*'rate increase'!C6,2)</f>
        <v>0</v>
      </c>
      <c r="C36" s="433"/>
    </row>
  </sheetData>
  <sheetProtection algorithmName="SHA-512" hashValue="vOxcxIZrbt5g36Ea9WmmFf6Mv1q0yvYLb+QPsxM0hB1au/QSNJEkwOD0jaiKQzyEZi8b2uXMcxBPb05bW0x2yg==" saltValue="ao1gneq1cfbX1A/S8YM1kw==" spinCount="100000" sheet="1" selectLockedCells="1"/>
  <mergeCells count="7">
    <mergeCell ref="B36:C36"/>
    <mergeCell ref="K24:L24"/>
    <mergeCell ref="A2:J2"/>
    <mergeCell ref="A7:G7"/>
    <mergeCell ref="D5:H5"/>
    <mergeCell ref="K21:L21"/>
    <mergeCell ref="K22:L22"/>
  </mergeCells>
  <phoneticPr fontId="2" type="noConversion"/>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V38"/>
  <sheetViews>
    <sheetView showGridLines="0" zoomScaleNormal="100" workbookViewId="0">
      <selection activeCell="I6" sqref="I6"/>
    </sheetView>
  </sheetViews>
  <sheetFormatPr defaultColWidth="10" defaultRowHeight="15" customHeight="1" x14ac:dyDescent="0.35"/>
  <cols>
    <col min="1" max="1" width="19.796875" style="59" customWidth="1"/>
    <col min="2" max="2" width="24.3984375" style="59" customWidth="1"/>
    <col min="3" max="3" width="6.59765625" style="59" customWidth="1"/>
    <col min="4" max="4" width="14.59765625" style="59" hidden="1" customWidth="1"/>
    <col min="5" max="5" width="28" style="59" hidden="1" customWidth="1"/>
    <col min="6" max="6" width="18.796875" style="59" customWidth="1"/>
    <col min="7" max="7" width="17.796875" style="59" customWidth="1"/>
    <col min="8" max="9" width="20.19921875" style="59" customWidth="1"/>
    <col min="10" max="10" width="20" style="59" customWidth="1"/>
    <col min="11" max="11" width="25" style="59" customWidth="1"/>
    <col min="12" max="12" width="20.796875" style="59" customWidth="1"/>
    <col min="13" max="208" width="10" style="59"/>
    <col min="209" max="209" width="2" style="59" customWidth="1"/>
    <col min="210" max="16384" width="10" style="59"/>
  </cols>
  <sheetData>
    <row r="1" spans="1:256" ht="30.75" customHeight="1" x14ac:dyDescent="0.45">
      <c r="A1" s="426" t="s">
        <v>183</v>
      </c>
      <c r="B1" s="426"/>
      <c r="C1" s="426"/>
      <c r="D1" s="426"/>
      <c r="E1" s="426"/>
      <c r="F1" s="426"/>
      <c r="G1" s="426"/>
      <c r="H1" s="426"/>
      <c r="I1" s="426"/>
      <c r="J1" s="426"/>
      <c r="K1" s="426"/>
    </row>
    <row r="2" spans="1:256" ht="15" customHeight="1" x14ac:dyDescent="0.35">
      <c r="A2" s="427" t="s">
        <v>276</v>
      </c>
      <c r="B2" s="427"/>
      <c r="C2" s="427"/>
      <c r="D2" s="427"/>
      <c r="E2" s="427"/>
      <c r="F2" s="427"/>
      <c r="G2" s="427"/>
      <c r="H2" s="427"/>
      <c r="I2" s="427"/>
      <c r="J2" s="427"/>
      <c r="K2" s="427"/>
    </row>
    <row r="3" spans="1:256" ht="15" customHeight="1" x14ac:dyDescent="0.35">
      <c r="A3" s="29" t="s">
        <v>22</v>
      </c>
      <c r="B3" s="30"/>
      <c r="C3" s="332"/>
      <c r="F3" s="29" t="s">
        <v>18</v>
      </c>
      <c r="G3" s="77"/>
      <c r="I3" s="31" t="s">
        <v>103</v>
      </c>
      <c r="J3" s="78"/>
      <c r="K3" s="31" t="s">
        <v>104</v>
      </c>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row>
    <row r="4" spans="1:256" ht="15" customHeight="1" x14ac:dyDescent="0.35">
      <c r="A4" s="79">
        <f>'Budget Plan '!A4</f>
        <v>0</v>
      </c>
      <c r="B4" s="80"/>
      <c r="C4" s="6"/>
      <c r="D4" s="76"/>
      <c r="F4" s="439">
        <f>'Budget Plan '!C4</f>
        <v>0</v>
      </c>
      <c r="G4" s="439"/>
      <c r="I4" s="35">
        <f>'Budget Plan '!F4</f>
        <v>0</v>
      </c>
      <c r="J4" s="78"/>
      <c r="K4" s="36">
        <f>'Budget Plan '!H4</f>
        <v>0</v>
      </c>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row>
    <row r="5" spans="1:256" ht="15" customHeight="1" x14ac:dyDescent="0.35">
      <c r="E5" s="76"/>
      <c r="G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row>
    <row r="6" spans="1:256" ht="15" customHeight="1" x14ac:dyDescent="0.35">
      <c r="A6" s="81"/>
      <c r="B6" s="81"/>
      <c r="C6" s="81"/>
      <c r="D6" s="84"/>
      <c r="E6" s="81"/>
      <c r="F6" s="438" t="s">
        <v>5</v>
      </c>
      <c r="G6" s="438"/>
      <c r="H6" s="438"/>
      <c r="I6" s="281"/>
      <c r="J6" s="81"/>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row>
    <row r="7" spans="1:256" ht="15" customHeight="1" x14ac:dyDescent="0.35">
      <c r="A7" s="32" t="s">
        <v>182</v>
      </c>
      <c r="B7" s="301"/>
      <c r="C7" s="85"/>
      <c r="D7" s="86"/>
      <c r="E7" s="30" t="s">
        <v>11</v>
      </c>
      <c r="F7" s="30" t="s">
        <v>9</v>
      </c>
      <c r="G7" s="30" t="s">
        <v>10</v>
      </c>
      <c r="H7" s="30" t="s">
        <v>4</v>
      </c>
      <c r="I7" s="30" t="s">
        <v>13</v>
      </c>
      <c r="J7" s="30" t="s">
        <v>14</v>
      </c>
      <c r="K7" s="30" t="s">
        <v>15</v>
      </c>
    </row>
    <row r="8" spans="1:256" ht="15" customHeight="1" x14ac:dyDescent="0.35">
      <c r="A8" s="87" t="s">
        <v>52</v>
      </c>
      <c r="B8" s="87"/>
      <c r="C8" s="87"/>
      <c r="E8" s="88">
        <v>17.52</v>
      </c>
      <c r="F8" s="282"/>
      <c r="G8" s="277"/>
      <c r="H8" s="283">
        <v>1</v>
      </c>
      <c r="I8" s="235">
        <f>ROUND(((F8*(I6/12))/(H8))+(((G8))/(H8)),1)</f>
        <v>0</v>
      </c>
      <c r="J8" s="244">
        <f>(E8*F8)/(H8)</f>
        <v>0</v>
      </c>
      <c r="K8" s="236">
        <f>ROUND((E8*G8)/(H8),2)</f>
        <v>0</v>
      </c>
    </row>
    <row r="9" spans="1:256" ht="15" customHeight="1" x14ac:dyDescent="0.35">
      <c r="A9" s="87" t="s">
        <v>52</v>
      </c>
      <c r="B9" s="87"/>
      <c r="C9" s="87"/>
      <c r="E9" s="88">
        <v>17.52</v>
      </c>
      <c r="F9" s="284"/>
      <c r="G9" s="277"/>
      <c r="H9" s="283">
        <v>2</v>
      </c>
      <c r="I9" s="235">
        <f>ROUND(((F9*(I6/12))/(H9))+(((G9))/(H9)),1)</f>
        <v>0</v>
      </c>
      <c r="J9" s="244">
        <f>(E9*F9)/(H9)</f>
        <v>0</v>
      </c>
      <c r="K9" s="236">
        <f>ROUND((E9*G9)/(H9),2)</f>
        <v>0</v>
      </c>
    </row>
    <row r="10" spans="1:256" ht="15" customHeight="1" x14ac:dyDescent="0.35">
      <c r="A10" s="87" t="s">
        <v>52</v>
      </c>
      <c r="B10" s="87"/>
      <c r="C10" s="87"/>
      <c r="E10" s="88">
        <v>17.52</v>
      </c>
      <c r="F10" s="279"/>
      <c r="G10" s="277"/>
      <c r="H10" s="283">
        <v>3</v>
      </c>
      <c r="I10" s="235">
        <f>ROUND(((F10*(I6/12))/(H10))+(((G10))/(H10)),1)</f>
        <v>0</v>
      </c>
      <c r="J10" s="244">
        <f>(E10*F10)/(H10)</f>
        <v>0</v>
      </c>
      <c r="K10" s="236">
        <f>ROUND((E10*G10)/(H10),2)</f>
        <v>0</v>
      </c>
    </row>
    <row r="11" spans="1:256" ht="15" customHeight="1" x14ac:dyDescent="0.35">
      <c r="A11" s="87" t="s">
        <v>52</v>
      </c>
      <c r="B11" s="87"/>
      <c r="C11" s="87"/>
      <c r="E11" s="90">
        <v>17.52</v>
      </c>
      <c r="F11" s="285"/>
      <c r="G11" s="277"/>
      <c r="H11" s="283">
        <v>4</v>
      </c>
      <c r="I11" s="235">
        <f>ROUND(((F11*(I6/12))/(H11))+(((G11))/(H11)),1)</f>
        <v>0</v>
      </c>
      <c r="J11" s="245">
        <f>(E11*F11)/(H11)</f>
        <v>0</v>
      </c>
      <c r="K11" s="236">
        <f>ROUND((E11*G11)/(H11),2)</f>
        <v>0</v>
      </c>
    </row>
    <row r="12" spans="1:256" ht="15" customHeight="1" x14ac:dyDescent="0.35">
      <c r="A12" s="76"/>
      <c r="B12" s="76"/>
      <c r="C12" s="76"/>
      <c r="D12" s="91"/>
      <c r="E12" s="323" t="s">
        <v>100</v>
      </c>
      <c r="F12" s="324">
        <f>SUM(F8:F11)</f>
        <v>0</v>
      </c>
      <c r="G12" s="327" t="s">
        <v>101</v>
      </c>
      <c r="H12" s="328"/>
      <c r="I12" s="325">
        <f>SUM(I8:I11)</f>
        <v>0</v>
      </c>
      <c r="J12" s="248">
        <f>SUM(J8:J11)</f>
        <v>0</v>
      </c>
      <c r="K12" s="248">
        <f>SUM(K8:K11)</f>
        <v>0</v>
      </c>
    </row>
    <row r="13" spans="1:256" ht="15" customHeight="1" x14ac:dyDescent="0.35">
      <c r="A13" s="76"/>
      <c r="B13" s="76"/>
      <c r="C13" s="76"/>
      <c r="G13" s="96" t="s">
        <v>93</v>
      </c>
      <c r="H13" s="246">
        <f>IFERROR(ROUND(+I12*12/I6,2),0)</f>
        <v>0</v>
      </c>
      <c r="I13" s="97"/>
      <c r="J13" s="94"/>
      <c r="K13" s="147"/>
    </row>
    <row r="14" spans="1:256" ht="15" customHeight="1" x14ac:dyDescent="0.35">
      <c r="A14" s="76"/>
      <c r="B14" s="76"/>
      <c r="C14" s="76"/>
      <c r="E14" s="96"/>
      <c r="F14" s="97"/>
      <c r="G14" s="6"/>
      <c r="H14" s="6"/>
      <c r="I14" s="97"/>
      <c r="J14" s="94"/>
      <c r="K14" s="147"/>
    </row>
    <row r="15" spans="1:256" ht="15" customHeight="1" x14ac:dyDescent="0.35">
      <c r="A15" s="100"/>
      <c r="B15" s="100"/>
      <c r="C15" s="100"/>
      <c r="D15" s="98"/>
      <c r="F15" s="76"/>
      <c r="G15" s="151"/>
      <c r="H15" s="152"/>
      <c r="I15" s="155"/>
      <c r="J15" s="153" t="s">
        <v>59</v>
      </c>
      <c r="K15" s="240">
        <f>IFERROR((($K$12*12/$I$6)+J12)*0.335+6.84,0)</f>
        <v>0</v>
      </c>
    </row>
    <row r="16" spans="1:256" ht="15" customHeight="1" x14ac:dyDescent="0.35">
      <c r="A16" s="76"/>
      <c r="B16" s="76"/>
      <c r="C16" s="76"/>
      <c r="D16" s="76"/>
      <c r="F16" s="78"/>
      <c r="G16" s="81"/>
      <c r="H16" s="6"/>
      <c r="I16" s="30" t="s">
        <v>170</v>
      </c>
      <c r="J16" s="95"/>
      <c r="K16" s="81"/>
      <c r="L16" s="76"/>
      <c r="M16" s="76"/>
      <c r="N16" s="76"/>
    </row>
    <row r="17" spans="1:15" ht="15" hidden="1" customHeight="1" thickBot="1" x14ac:dyDescent="0.4">
      <c r="A17" s="76"/>
      <c r="B17" s="76"/>
      <c r="C17" s="76"/>
      <c r="D17" s="76"/>
      <c r="F17" s="78"/>
      <c r="G17" s="81"/>
      <c r="H17" s="78"/>
      <c r="I17" s="101"/>
      <c r="J17" s="326" t="e">
        <f>ROUND(ROUND(ROUND(ROUND(ROUND(ROUND(IF(ROUND(((K15+J12+($K$12*12/I6))*1.0288),2)&gt;151.41,151.41,ROUND(((K15+J12+($K$12*12/I6))*1.0288),2))*1.008,2)*1.105,2)*1.0018,2)*1.08,2)*1.03,2)*1.021,2)</f>
        <v>#DIV/0!</v>
      </c>
      <c r="K17" s="81"/>
      <c r="L17" s="76"/>
      <c r="M17" s="76"/>
      <c r="N17" s="76"/>
    </row>
    <row r="18" spans="1:15" ht="15" customHeight="1" x14ac:dyDescent="0.35">
      <c r="A18" s="76"/>
      <c r="B18" s="76"/>
      <c r="C18" s="76"/>
      <c r="D18" s="76"/>
      <c r="F18" s="78"/>
      <c r="G18" s="81"/>
      <c r="H18" s="78"/>
      <c r="I18" s="96" t="s">
        <v>31</v>
      </c>
      <c r="J18" s="240">
        <f>IFERROR(ROUND(ROUND(ROUND(ROUND(ROUND(J17*1.0096,2)*1.005772,2)*'rate increase'!C2,2)*'rate increase'!C3,2)*'rate increase'!C6,2),0)</f>
        <v>0</v>
      </c>
      <c r="K18" s="81"/>
      <c r="L18" s="76"/>
      <c r="M18" s="76"/>
      <c r="N18" s="76"/>
    </row>
    <row r="19" spans="1:15" ht="15" customHeight="1" x14ac:dyDescent="0.35">
      <c r="D19" s="102"/>
      <c r="F19" s="103"/>
      <c r="G19" s="38"/>
      <c r="H19" s="38"/>
      <c r="J19" s="104" t="s">
        <v>25</v>
      </c>
      <c r="K19" s="270">
        <f>SUM(ROUND((J18*(I6)/12),2))</f>
        <v>0</v>
      </c>
      <c r="L19" s="76"/>
      <c r="M19" s="76"/>
      <c r="N19" s="76"/>
    </row>
    <row r="20" spans="1:15" ht="15" customHeight="1" x14ac:dyDescent="0.35">
      <c r="D20" s="102"/>
      <c r="F20" s="103"/>
      <c r="G20" s="38"/>
      <c r="H20" s="38"/>
      <c r="J20" s="105" t="s">
        <v>24</v>
      </c>
      <c r="K20" s="270">
        <f>ROUND((J18*I6),2)</f>
        <v>0</v>
      </c>
      <c r="L20" s="76"/>
      <c r="M20" s="76"/>
      <c r="N20" s="76"/>
    </row>
    <row r="21" spans="1:15" ht="15" customHeight="1" x14ac:dyDescent="0.35">
      <c r="A21" s="1" t="str">
        <f>'Budget Plan '!A24</f>
        <v>Revised 7/1/2023</v>
      </c>
      <c r="B21" s="17"/>
      <c r="C21" s="13"/>
      <c r="D21" s="48"/>
      <c r="E21" s="49"/>
      <c r="F21" s="49"/>
      <c r="G21" s="50"/>
      <c r="H21" s="50"/>
      <c r="I21" s="52"/>
      <c r="J21" s="106"/>
      <c r="K21" s="107"/>
      <c r="L21" s="76"/>
      <c r="M21" s="76"/>
      <c r="N21" s="76"/>
    </row>
    <row r="22" spans="1:15" ht="15" customHeight="1" x14ac:dyDescent="0.35">
      <c r="A22" s="4" t="s">
        <v>43</v>
      </c>
      <c r="B22" s="108"/>
      <c r="C22" s="55"/>
      <c r="D22" s="51"/>
      <c r="E22" s="56"/>
      <c r="F22" s="49"/>
      <c r="G22" s="50"/>
      <c r="H22" s="49"/>
      <c r="I22" s="51"/>
      <c r="J22" s="38"/>
      <c r="K22" s="38"/>
      <c r="L22" s="76"/>
      <c r="M22" s="76"/>
      <c r="N22" s="76"/>
    </row>
    <row r="23" spans="1:15" ht="15" customHeight="1" x14ac:dyDescent="0.35">
      <c r="A23" s="4" t="s">
        <v>6</v>
      </c>
      <c r="B23" s="13"/>
      <c r="C23" s="57"/>
      <c r="D23" s="51"/>
      <c r="E23" s="53"/>
      <c r="F23" s="48"/>
      <c r="G23" s="52"/>
      <c r="H23" s="109"/>
      <c r="I23" s="53"/>
      <c r="J23" s="103"/>
      <c r="K23" s="103"/>
      <c r="L23" s="76"/>
      <c r="M23" s="76"/>
      <c r="N23" s="76"/>
    </row>
    <row r="24" spans="1:15" ht="15" customHeight="1" x14ac:dyDescent="0.35">
      <c r="A24" s="103"/>
      <c r="B24" s="103"/>
      <c r="C24" s="103"/>
      <c r="D24" s="103"/>
      <c r="E24" s="103"/>
      <c r="F24" s="103"/>
      <c r="G24" s="103"/>
      <c r="H24" s="103"/>
      <c r="I24" s="103"/>
      <c r="J24" s="103"/>
      <c r="K24" s="103"/>
      <c r="L24" s="76"/>
      <c r="M24" s="76"/>
      <c r="N24" s="76"/>
    </row>
    <row r="25" spans="1:15" ht="15" customHeight="1" x14ac:dyDescent="0.35">
      <c r="A25" s="115"/>
      <c r="B25" s="106"/>
      <c r="C25" s="106"/>
      <c r="D25" s="106"/>
      <c r="E25" s="106"/>
      <c r="F25" s="106"/>
      <c r="G25" s="106"/>
      <c r="H25" s="106"/>
      <c r="I25" s="106"/>
      <c r="J25" s="106"/>
      <c r="K25" s="106"/>
      <c r="L25" s="110"/>
      <c r="M25" s="110"/>
      <c r="N25" s="110"/>
      <c r="O25" s="111"/>
    </row>
    <row r="26" spans="1:15" ht="15" customHeight="1" x14ac:dyDescent="0.35">
      <c r="A26" s="60"/>
      <c r="B26" s="60"/>
      <c r="C26" s="60"/>
      <c r="D26" s="61"/>
      <c r="E26" s="62"/>
      <c r="F26" s="62"/>
      <c r="G26" s="61"/>
      <c r="H26" s="61"/>
      <c r="I26" s="64"/>
      <c r="J26" s="64"/>
      <c r="K26" s="13"/>
      <c r="L26" s="76"/>
      <c r="M26" s="76"/>
      <c r="N26" s="76"/>
    </row>
    <row r="27" spans="1:15" ht="15" customHeight="1" x14ac:dyDescent="0.35">
      <c r="A27" s="60"/>
      <c r="B27" s="60"/>
      <c r="C27" s="60"/>
      <c r="D27" s="61"/>
      <c r="E27" s="62"/>
      <c r="F27" s="62"/>
      <c r="G27" s="61"/>
      <c r="H27" s="61"/>
      <c r="I27" s="64"/>
      <c r="J27" s="64"/>
      <c r="K27" s="13"/>
      <c r="L27" s="76"/>
      <c r="M27" s="76"/>
      <c r="N27" s="76"/>
    </row>
    <row r="28" spans="1:15" ht="15" customHeight="1" x14ac:dyDescent="0.35">
      <c r="A28" s="60"/>
      <c r="B28" s="60"/>
      <c r="C28" s="60"/>
      <c r="D28" s="61"/>
      <c r="E28" s="62"/>
      <c r="F28" s="62"/>
      <c r="G28" s="61"/>
      <c r="H28" s="61"/>
      <c r="I28" s="64"/>
      <c r="J28" s="64"/>
      <c r="K28" s="13"/>
      <c r="L28" s="76"/>
      <c r="M28" s="76"/>
      <c r="N28" s="76"/>
    </row>
    <row r="29" spans="1:15" ht="15" customHeight="1" x14ac:dyDescent="0.35">
      <c r="A29" s="60"/>
      <c r="B29" s="60"/>
      <c r="C29" s="60"/>
      <c r="D29" s="61"/>
      <c r="E29" s="62"/>
      <c r="F29" s="62"/>
      <c r="G29" s="61"/>
      <c r="H29" s="61"/>
      <c r="I29" s="64"/>
      <c r="J29" s="64"/>
      <c r="K29" s="13"/>
      <c r="L29" s="76"/>
      <c r="M29" s="76"/>
      <c r="N29" s="76"/>
    </row>
    <row r="30" spans="1:15" ht="15" customHeight="1" x14ac:dyDescent="0.35">
      <c r="A30" s="60"/>
      <c r="B30" s="60"/>
      <c r="C30" s="60"/>
      <c r="D30" s="61"/>
      <c r="E30" s="62"/>
      <c r="F30" s="62"/>
      <c r="G30" s="61"/>
      <c r="H30" s="61"/>
      <c r="I30" s="64"/>
      <c r="J30" s="64"/>
      <c r="K30" s="13"/>
      <c r="L30" s="76"/>
      <c r="M30" s="76"/>
      <c r="N30" s="76"/>
    </row>
    <row r="31" spans="1:15" ht="15" customHeight="1" x14ac:dyDescent="0.35">
      <c r="A31" s="103"/>
      <c r="B31" s="103"/>
      <c r="C31" s="103"/>
      <c r="D31" s="103"/>
      <c r="E31" s="103"/>
      <c r="F31" s="103"/>
      <c r="G31" s="103"/>
      <c r="H31" s="103"/>
      <c r="I31" s="103"/>
      <c r="J31" s="103"/>
      <c r="K31" s="103"/>
      <c r="L31" s="76"/>
      <c r="M31" s="76"/>
      <c r="N31" s="76"/>
    </row>
    <row r="32" spans="1:15" ht="15" customHeight="1" x14ac:dyDescent="0.35">
      <c r="A32" s="38"/>
      <c r="B32" s="38"/>
      <c r="C32" s="38"/>
      <c r="D32" s="103"/>
      <c r="E32" s="38"/>
      <c r="F32" s="38"/>
      <c r="G32" s="38"/>
      <c r="H32" s="103"/>
      <c r="I32" s="38"/>
      <c r="J32" s="38"/>
      <c r="K32" s="38"/>
      <c r="M32" s="76"/>
      <c r="N32" s="76"/>
    </row>
    <row r="33" spans="1:14" ht="15" customHeight="1" x14ac:dyDescent="0.35">
      <c r="A33" s="112"/>
      <c r="B33" s="113"/>
      <c r="C33" s="106"/>
      <c r="D33" s="8"/>
      <c r="E33" s="8"/>
      <c r="F33" s="113"/>
      <c r="G33" s="106"/>
      <c r="H33" s="103"/>
      <c r="I33" s="8"/>
      <c r="J33" s="103"/>
      <c r="K33" s="106"/>
      <c r="M33" s="76"/>
      <c r="N33" s="76"/>
    </row>
    <row r="34" spans="1:14" ht="15" customHeight="1" x14ac:dyDescent="0.35">
      <c r="A34" s="103"/>
      <c r="B34" s="8"/>
      <c r="C34" s="8"/>
      <c r="D34" s="8"/>
      <c r="E34" s="8"/>
      <c r="F34" s="8"/>
      <c r="G34" s="8"/>
      <c r="H34" s="8"/>
      <c r="I34" s="8"/>
      <c r="J34" s="114"/>
      <c r="K34" s="114"/>
      <c r="M34" s="76"/>
      <c r="N34" s="76"/>
    </row>
    <row r="35" spans="1:14" ht="15" customHeight="1" x14ac:dyDescent="0.35">
      <c r="A35" s="38"/>
      <c r="B35" s="38"/>
      <c r="C35" s="38"/>
      <c r="D35" s="103"/>
      <c r="E35" s="103"/>
      <c r="F35" s="103"/>
      <c r="G35" s="103"/>
      <c r="H35" s="103"/>
      <c r="I35" s="103"/>
      <c r="J35" s="103"/>
      <c r="K35" s="103"/>
      <c r="L35" s="76"/>
      <c r="M35" s="76"/>
      <c r="N35" s="76"/>
    </row>
    <row r="36" spans="1:14" ht="15" customHeight="1" x14ac:dyDescent="0.35">
      <c r="A36" s="112"/>
      <c r="B36" s="113"/>
      <c r="C36" s="106"/>
      <c r="D36" s="103"/>
      <c r="E36" s="103"/>
      <c r="F36" s="103"/>
      <c r="G36" s="103"/>
      <c r="H36" s="103"/>
      <c r="I36" s="103"/>
      <c r="J36" s="103"/>
      <c r="K36" s="103"/>
      <c r="L36" s="76"/>
      <c r="M36" s="76"/>
      <c r="N36" s="76"/>
    </row>
    <row r="37" spans="1:14" ht="15" customHeight="1" x14ac:dyDescent="0.35">
      <c r="A37" s="112"/>
      <c r="B37" s="8"/>
      <c r="C37" s="103"/>
      <c r="D37" s="103"/>
      <c r="E37" s="103"/>
      <c r="F37" s="103"/>
      <c r="G37" s="103"/>
      <c r="H37" s="103"/>
      <c r="I37" s="103"/>
      <c r="J37" s="103"/>
      <c r="K37" s="103"/>
      <c r="L37" s="76"/>
      <c r="M37" s="76"/>
      <c r="N37" s="76"/>
    </row>
    <row r="38" spans="1:14" ht="15" customHeight="1" x14ac:dyDescent="0.35">
      <c r="L38" s="76"/>
      <c r="M38" s="76"/>
      <c r="N38" s="76"/>
    </row>
  </sheetData>
  <sheetProtection algorithmName="SHA-512" hashValue="BbOETGd4m9KjG7G22/3aXly98Ht6ddC0hDwirqjCB34qegvUsOlblL3FEnptIlvYOxvZBd+yv2Mnpdf0J5vJ6w==" saltValue="LCQ5pRhvavAjZLJD01Arng==" spinCount="100000" sheet="1" selectLockedCells="1"/>
  <mergeCells count="4">
    <mergeCell ref="A1:K1"/>
    <mergeCell ref="A2:K2"/>
    <mergeCell ref="F6:H6"/>
    <mergeCell ref="F4:G4"/>
  </mergeCells>
  <pageMargins left="0.7" right="0.7" top="0.75" bottom="0.75" header="0.3" footer="0.3"/>
  <pageSetup scale="74"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IV38"/>
  <sheetViews>
    <sheetView showGridLines="0" zoomScaleNormal="100" workbookViewId="0">
      <selection activeCell="I6" sqref="I6"/>
    </sheetView>
  </sheetViews>
  <sheetFormatPr defaultColWidth="10" defaultRowHeight="15" customHeight="1" x14ac:dyDescent="0.35"/>
  <cols>
    <col min="1" max="1" width="44.59765625" style="59" customWidth="1"/>
    <col min="2" max="2" width="8" style="59" customWidth="1"/>
    <col min="3" max="3" width="21.3984375" style="59" hidden="1" customWidth="1"/>
    <col min="4" max="4" width="14.59765625" style="59" hidden="1" customWidth="1"/>
    <col min="5" max="5" width="28" style="59" hidden="1" customWidth="1"/>
    <col min="6" max="6" width="18.796875" style="59" customWidth="1"/>
    <col min="7" max="7" width="21.59765625" style="59" customWidth="1"/>
    <col min="8" max="8" width="18.3984375" style="59" customWidth="1"/>
    <col min="9" max="9" width="21" style="59" customWidth="1"/>
    <col min="10" max="10" width="20" style="59" customWidth="1"/>
    <col min="11" max="11" width="25" style="59" customWidth="1"/>
    <col min="12" max="12" width="20.796875" style="59" customWidth="1"/>
    <col min="13" max="208" width="10" style="59"/>
    <col min="209" max="209" width="2" style="59" customWidth="1"/>
    <col min="210" max="16384" width="10" style="59"/>
  </cols>
  <sheetData>
    <row r="1" spans="1:256" ht="30" customHeight="1" x14ac:dyDescent="0.45">
      <c r="A1" s="426" t="s">
        <v>183</v>
      </c>
      <c r="B1" s="426"/>
      <c r="C1" s="426"/>
      <c r="D1" s="426"/>
      <c r="E1" s="426"/>
      <c r="F1" s="426"/>
      <c r="G1" s="426"/>
      <c r="H1" s="426"/>
      <c r="I1" s="426"/>
      <c r="J1" s="426"/>
      <c r="K1" s="426"/>
    </row>
    <row r="2" spans="1:256" ht="15" customHeight="1" x14ac:dyDescent="0.35">
      <c r="A2" s="427" t="s">
        <v>277</v>
      </c>
      <c r="B2" s="427"/>
      <c r="C2" s="427"/>
      <c r="D2" s="427"/>
      <c r="E2" s="427"/>
      <c r="F2" s="427"/>
      <c r="G2" s="427"/>
      <c r="H2" s="427"/>
      <c r="I2" s="427"/>
      <c r="J2" s="427"/>
      <c r="K2" s="427"/>
    </row>
    <row r="3" spans="1:256" ht="15" customHeight="1" x14ac:dyDescent="0.35">
      <c r="A3" s="29" t="s">
        <v>22</v>
      </c>
      <c r="B3" s="30"/>
      <c r="C3" s="30"/>
      <c r="F3" s="29" t="s">
        <v>18</v>
      </c>
      <c r="G3" s="77"/>
      <c r="I3" s="31" t="s">
        <v>103</v>
      </c>
      <c r="J3" s="78"/>
      <c r="K3" s="31" t="s">
        <v>104</v>
      </c>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row>
    <row r="4" spans="1:256" ht="15" customHeight="1" x14ac:dyDescent="0.35">
      <c r="A4" s="79">
        <f>'Budget Plan '!A4</f>
        <v>0</v>
      </c>
      <c r="B4" s="6"/>
      <c r="C4" s="6"/>
      <c r="D4" s="76"/>
      <c r="F4" s="439">
        <f>'Budget Plan '!C4</f>
        <v>0</v>
      </c>
      <c r="G4" s="439"/>
      <c r="I4" s="35">
        <f>'Budget Plan '!F4</f>
        <v>0</v>
      </c>
      <c r="J4" s="78"/>
      <c r="K4" s="36">
        <f>'Budget Plan '!H4</f>
        <v>0</v>
      </c>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row>
    <row r="5" spans="1:256" ht="15" customHeight="1" x14ac:dyDescent="0.35">
      <c r="E5" s="76"/>
      <c r="G5" s="76"/>
      <c r="J5" s="76"/>
      <c r="K5" s="81"/>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row>
    <row r="6" spans="1:256" ht="15" customHeight="1" x14ac:dyDescent="0.35">
      <c r="A6" s="81"/>
      <c r="B6" s="81"/>
      <c r="C6" s="81"/>
      <c r="D6" s="84"/>
      <c r="E6" s="81"/>
      <c r="F6" s="438" t="s">
        <v>5</v>
      </c>
      <c r="G6" s="438"/>
      <c r="H6" s="438"/>
      <c r="I6" s="281"/>
      <c r="J6" s="440"/>
      <c r="K6" s="440"/>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row>
    <row r="7" spans="1:256" ht="15" customHeight="1" x14ac:dyDescent="0.35">
      <c r="A7" s="32" t="s">
        <v>182</v>
      </c>
      <c r="B7" s="85"/>
      <c r="C7" s="85"/>
      <c r="D7" s="86"/>
      <c r="E7" s="30" t="s">
        <v>11</v>
      </c>
      <c r="F7" s="30" t="s">
        <v>9</v>
      </c>
      <c r="G7" s="30" t="s">
        <v>10</v>
      </c>
      <c r="H7" s="30" t="s">
        <v>4</v>
      </c>
      <c r="I7" s="30" t="s">
        <v>13</v>
      </c>
      <c r="J7" s="30" t="s">
        <v>14</v>
      </c>
      <c r="K7" s="30" t="s">
        <v>15</v>
      </c>
    </row>
    <row r="8" spans="1:256" ht="15" customHeight="1" x14ac:dyDescent="0.35">
      <c r="A8" s="87" t="s">
        <v>52</v>
      </c>
      <c r="B8" s="87"/>
      <c r="C8" s="87"/>
      <c r="E8" s="88">
        <v>17.52</v>
      </c>
      <c r="F8" s="282"/>
      <c r="G8" s="277"/>
      <c r="H8" s="283">
        <v>1</v>
      </c>
      <c r="I8" s="235">
        <f>ROUND(((F8*(I6/12))/(H8))+(((G8))/(H8)),1)</f>
        <v>0</v>
      </c>
      <c r="J8" s="244">
        <f>(E8*F8)/(H8)</f>
        <v>0</v>
      </c>
      <c r="K8" s="236">
        <f>ROUND((E8*G8)/(H8),2)</f>
        <v>0</v>
      </c>
    </row>
    <row r="9" spans="1:256" ht="15" customHeight="1" x14ac:dyDescent="0.35">
      <c r="A9" s="87" t="s">
        <v>52</v>
      </c>
      <c r="B9" s="87"/>
      <c r="C9" s="87"/>
      <c r="E9" s="88">
        <v>17.52</v>
      </c>
      <c r="F9" s="284"/>
      <c r="G9" s="277"/>
      <c r="H9" s="283">
        <v>2</v>
      </c>
      <c r="I9" s="235">
        <f>ROUND(((F9*(I6/12))/(H9))+(((G9))/(H9)),1)</f>
        <v>0</v>
      </c>
      <c r="J9" s="244">
        <f>(E9*F9)/(H9)</f>
        <v>0</v>
      </c>
      <c r="K9" s="236">
        <f>ROUND((E9*G9)/(H9),2)</f>
        <v>0</v>
      </c>
    </row>
    <row r="10" spans="1:256" ht="15" customHeight="1" x14ac:dyDescent="0.35">
      <c r="A10" s="87" t="s">
        <v>52</v>
      </c>
      <c r="B10" s="87"/>
      <c r="C10" s="87"/>
      <c r="E10" s="88">
        <v>17.52</v>
      </c>
      <c r="F10" s="279"/>
      <c r="G10" s="277"/>
      <c r="H10" s="283">
        <v>3</v>
      </c>
      <c r="I10" s="235">
        <f>ROUND(((F10*(I6/12))/(H10))+(((G10))/(H10)),1)</f>
        <v>0</v>
      </c>
      <c r="J10" s="244">
        <f>(E10*F10)/(H10)</f>
        <v>0</v>
      </c>
      <c r="K10" s="236">
        <f>ROUND((E10*G10)/(H10),2)</f>
        <v>0</v>
      </c>
    </row>
    <row r="11" spans="1:256" ht="15" customHeight="1" x14ac:dyDescent="0.35">
      <c r="A11" s="87" t="s">
        <v>52</v>
      </c>
      <c r="B11" s="87"/>
      <c r="C11" s="87"/>
      <c r="E11" s="90">
        <v>17.52</v>
      </c>
      <c r="F11" s="285"/>
      <c r="G11" s="277"/>
      <c r="H11" s="283">
        <v>4</v>
      </c>
      <c r="I11" s="235">
        <f>ROUND(((F11*(I6/12))/(H11))+(((G11))/(H11)),1)</f>
        <v>0</v>
      </c>
      <c r="J11" s="245">
        <f>(E11*F11)/(H11)</f>
        <v>0</v>
      </c>
      <c r="K11" s="236">
        <f>ROUND((E11*G11)/(H11),2)</f>
        <v>0</v>
      </c>
    </row>
    <row r="12" spans="1:256" ht="15" customHeight="1" x14ac:dyDescent="0.35">
      <c r="A12" s="76"/>
      <c r="B12" s="76"/>
      <c r="C12" s="76"/>
      <c r="D12" s="91"/>
      <c r="E12" s="323" t="s">
        <v>100</v>
      </c>
      <c r="F12" s="324">
        <f>SUM(F8:F11)</f>
        <v>0</v>
      </c>
      <c r="G12" s="327" t="s">
        <v>102</v>
      </c>
      <c r="H12" s="334"/>
      <c r="I12" s="287">
        <f>SUM(I8:I11)</f>
        <v>0</v>
      </c>
      <c r="J12" s="241">
        <f>SUM(J8:J11)</f>
        <v>0</v>
      </c>
      <c r="K12" s="335">
        <f>SUM(K8:K11)</f>
        <v>0</v>
      </c>
    </row>
    <row r="13" spans="1:256" ht="15" customHeight="1" x14ac:dyDescent="0.35">
      <c r="A13" s="76"/>
      <c r="B13" s="76"/>
      <c r="C13" s="76"/>
      <c r="G13" s="96" t="s">
        <v>93</v>
      </c>
      <c r="H13" s="333">
        <f>IFERROR(ROUND(+I12*12/I6,2),0)</f>
        <v>0</v>
      </c>
      <c r="I13" s="97"/>
      <c r="J13" s="94"/>
      <c r="K13" s="147"/>
    </row>
    <row r="14" spans="1:256" ht="15" customHeight="1" x14ac:dyDescent="0.35">
      <c r="A14" s="76"/>
      <c r="B14" s="76"/>
      <c r="C14" s="76"/>
      <c r="E14" s="96"/>
      <c r="F14" s="97"/>
      <c r="G14" s="6"/>
      <c r="H14" s="6"/>
      <c r="I14" s="97"/>
      <c r="J14" s="94"/>
      <c r="K14" s="147"/>
    </row>
    <row r="15" spans="1:256" ht="15" customHeight="1" x14ac:dyDescent="0.35">
      <c r="A15" s="100"/>
      <c r="B15" s="100"/>
      <c r="C15" s="100"/>
      <c r="D15" s="98"/>
      <c r="F15" s="76"/>
      <c r="G15" s="151"/>
      <c r="H15" s="152"/>
      <c r="I15" s="155"/>
      <c r="J15" s="153" t="s">
        <v>59</v>
      </c>
      <c r="K15" s="240">
        <f>IFERROR((($K$12*12/$I$6)+J12)*0.335+6.84,0)</f>
        <v>0</v>
      </c>
    </row>
    <row r="16" spans="1:256" ht="15" customHeight="1" x14ac:dyDescent="0.35">
      <c r="A16" s="76"/>
      <c r="B16" s="76"/>
      <c r="C16" s="76"/>
      <c r="D16" s="76"/>
      <c r="F16" s="78"/>
      <c r="G16" s="81"/>
      <c r="H16" s="6"/>
      <c r="I16" s="30" t="s">
        <v>170</v>
      </c>
      <c r="J16" s="95"/>
      <c r="K16" s="81"/>
      <c r="L16" s="76"/>
      <c r="M16" s="76"/>
      <c r="N16" s="76"/>
    </row>
    <row r="17" spans="1:15" ht="15" hidden="1" customHeight="1" thickBot="1" x14ac:dyDescent="0.4">
      <c r="A17" s="76"/>
      <c r="B17" s="76"/>
      <c r="C17" s="76"/>
      <c r="D17" s="76"/>
      <c r="F17" s="78"/>
      <c r="G17" s="81"/>
      <c r="H17" s="78"/>
      <c r="I17" s="101"/>
      <c r="J17" s="336" t="e">
        <f>ROUND(ROUND(ROUND(ROUND(ROUND(ROUND(IF(ROUND(((K15+J12+($K$12*12/I6))*1.0288),2)=6.8,0,ROUND(((K15+J12+($K$12*12/I6))*1.0288),2))*1.008,2)*1.105,2)*1.0018,2)*1.08,2)*1.03,2)*1.021,2)</f>
        <v>#DIV/0!</v>
      </c>
      <c r="K17" s="81"/>
      <c r="L17" s="76"/>
      <c r="M17" s="76"/>
      <c r="N17" s="76"/>
    </row>
    <row r="18" spans="1:15" ht="15" customHeight="1" x14ac:dyDescent="0.35">
      <c r="A18" s="76"/>
      <c r="B18" s="76"/>
      <c r="C18" s="76"/>
      <c r="D18" s="76"/>
      <c r="F18" s="78"/>
      <c r="G18" s="81"/>
      <c r="H18" s="78"/>
      <c r="I18" s="96" t="s">
        <v>31</v>
      </c>
      <c r="J18" s="240">
        <f>IFERROR(ROUND(ROUND(ROUND(ROUND(ROUND(J17*1.0096,2)*1.005772,2)*'rate increase'!C2,2)*'rate increase'!C3,2)*'rate increase'!C6,2),0)</f>
        <v>0</v>
      </c>
      <c r="K18" s="81"/>
      <c r="L18" s="76"/>
      <c r="M18" s="76"/>
      <c r="N18" s="76"/>
    </row>
    <row r="19" spans="1:15" ht="15" customHeight="1" x14ac:dyDescent="0.35">
      <c r="D19" s="102"/>
      <c r="F19" s="103"/>
      <c r="G19" s="38"/>
      <c r="H19" s="38"/>
      <c r="J19" s="104" t="s">
        <v>25</v>
      </c>
      <c r="K19" s="270">
        <f>SUM(ROUND((J18*(I6)/12),2))</f>
        <v>0</v>
      </c>
      <c r="L19" s="76"/>
      <c r="M19" s="76"/>
      <c r="N19" s="76"/>
    </row>
    <row r="20" spans="1:15" ht="15" customHeight="1" x14ac:dyDescent="0.35">
      <c r="D20" s="102"/>
      <c r="F20" s="103"/>
      <c r="G20" s="38"/>
      <c r="H20" s="38"/>
      <c r="J20" s="105" t="s">
        <v>24</v>
      </c>
      <c r="K20" s="270">
        <f>ROUND((J18*I6),2)</f>
        <v>0</v>
      </c>
      <c r="L20" s="76"/>
      <c r="M20" s="76"/>
      <c r="N20" s="76"/>
    </row>
    <row r="21" spans="1:15" ht="15" customHeight="1" x14ac:dyDescent="0.35">
      <c r="A21" s="48"/>
      <c r="B21" s="17"/>
      <c r="C21" s="13"/>
      <c r="D21" s="48"/>
      <c r="E21" s="49"/>
      <c r="F21" s="49"/>
      <c r="G21" s="50"/>
      <c r="H21" s="50"/>
      <c r="I21" s="52"/>
      <c r="J21" s="106"/>
      <c r="K21" s="107"/>
      <c r="L21" s="76"/>
      <c r="M21" s="76"/>
      <c r="N21" s="76"/>
    </row>
    <row r="22" spans="1:15" ht="15" customHeight="1" x14ac:dyDescent="0.35">
      <c r="A22" s="1" t="str">
        <f>'Budget Plan '!A24</f>
        <v>Revised 7/1/2023</v>
      </c>
      <c r="B22" s="108"/>
      <c r="C22" s="55"/>
      <c r="D22" s="51"/>
      <c r="E22" s="56"/>
      <c r="F22" s="49"/>
      <c r="G22" s="50"/>
      <c r="H22" s="49"/>
      <c r="I22" s="51"/>
      <c r="J22" s="38"/>
      <c r="K22" s="38"/>
      <c r="L22" s="76"/>
      <c r="M22" s="76"/>
      <c r="N22" s="76"/>
    </row>
    <row r="23" spans="1:15" ht="15" customHeight="1" x14ac:dyDescent="0.35">
      <c r="A23" s="4" t="s">
        <v>43</v>
      </c>
      <c r="B23" s="13"/>
      <c r="C23" s="57"/>
      <c r="D23" s="51"/>
      <c r="E23" s="53"/>
      <c r="F23" s="48"/>
      <c r="G23" s="52"/>
      <c r="H23" s="109"/>
      <c r="I23" s="53"/>
      <c r="J23" s="103"/>
      <c r="K23" s="103"/>
      <c r="L23" s="76"/>
      <c r="M23" s="76"/>
      <c r="N23" s="76"/>
    </row>
    <row r="24" spans="1:15" ht="15" customHeight="1" x14ac:dyDescent="0.35">
      <c r="A24" s="4" t="s">
        <v>6</v>
      </c>
      <c r="B24" s="103"/>
      <c r="C24" s="103"/>
      <c r="D24" s="103"/>
      <c r="E24" s="103"/>
      <c r="F24" s="103"/>
      <c r="G24" s="103"/>
      <c r="H24" s="103"/>
      <c r="I24" s="103"/>
      <c r="J24" s="103"/>
      <c r="K24" s="103"/>
      <c r="L24" s="76"/>
      <c r="M24" s="76"/>
      <c r="N24" s="76"/>
    </row>
    <row r="25" spans="1:15" ht="15" customHeight="1" x14ac:dyDescent="0.35">
      <c r="A25" s="106"/>
      <c r="B25" s="106"/>
      <c r="C25" s="106"/>
      <c r="D25" s="106"/>
      <c r="E25" s="106"/>
      <c r="F25" s="106"/>
      <c r="G25" s="106"/>
      <c r="H25" s="106"/>
      <c r="I25" s="106"/>
      <c r="J25" s="106"/>
      <c r="K25" s="106"/>
      <c r="L25" s="110"/>
      <c r="M25" s="110"/>
      <c r="N25" s="110"/>
      <c r="O25" s="111"/>
    </row>
    <row r="26" spans="1:15" ht="15" customHeight="1" x14ac:dyDescent="0.35">
      <c r="A26" s="115"/>
      <c r="B26" s="60"/>
      <c r="C26" s="60"/>
      <c r="D26" s="61"/>
      <c r="E26" s="62"/>
      <c r="F26" s="62"/>
      <c r="G26" s="61"/>
      <c r="H26" s="61"/>
      <c r="I26" s="64"/>
      <c r="J26" s="64"/>
      <c r="K26" s="13"/>
      <c r="L26" s="76"/>
      <c r="M26" s="76"/>
      <c r="N26" s="76"/>
    </row>
    <row r="27" spans="1:15" ht="15" customHeight="1" x14ac:dyDescent="0.35">
      <c r="A27" s="60"/>
      <c r="B27" s="60"/>
      <c r="C27" s="60"/>
      <c r="D27" s="61"/>
      <c r="E27" s="62"/>
      <c r="F27" s="62"/>
      <c r="G27" s="61"/>
      <c r="H27" s="61"/>
      <c r="I27" s="64"/>
      <c r="J27" s="64"/>
      <c r="K27" s="13"/>
      <c r="L27" s="76"/>
      <c r="M27" s="76"/>
      <c r="N27" s="76"/>
    </row>
    <row r="28" spans="1:15" ht="15" customHeight="1" x14ac:dyDescent="0.35">
      <c r="A28" s="60"/>
      <c r="B28" s="60"/>
      <c r="C28" s="60"/>
      <c r="D28" s="61"/>
      <c r="E28" s="62"/>
      <c r="F28" s="62"/>
      <c r="G28" s="61"/>
      <c r="H28" s="61"/>
      <c r="I28" s="64"/>
      <c r="J28" s="64"/>
      <c r="K28" s="13"/>
      <c r="L28" s="76"/>
      <c r="M28" s="76"/>
      <c r="N28" s="76"/>
    </row>
    <row r="29" spans="1:15" ht="15" customHeight="1" x14ac:dyDescent="0.35">
      <c r="A29" s="60"/>
      <c r="B29" s="60"/>
      <c r="C29" s="60"/>
      <c r="D29" s="61"/>
      <c r="E29" s="62"/>
      <c r="F29" s="62"/>
      <c r="G29" s="61"/>
      <c r="H29" s="61"/>
      <c r="I29" s="64"/>
      <c r="J29" s="64"/>
      <c r="K29" s="13"/>
      <c r="L29" s="76"/>
      <c r="M29" s="76"/>
      <c r="N29" s="76"/>
    </row>
    <row r="30" spans="1:15" ht="15" customHeight="1" x14ac:dyDescent="0.35">
      <c r="A30" s="60"/>
      <c r="B30" s="60"/>
      <c r="C30" s="60"/>
      <c r="D30" s="61"/>
      <c r="E30" s="62"/>
      <c r="F30" s="62"/>
      <c r="G30" s="61"/>
      <c r="H30" s="61"/>
      <c r="I30" s="64"/>
      <c r="J30" s="64"/>
      <c r="K30" s="13"/>
      <c r="L30" s="76"/>
      <c r="M30" s="76"/>
      <c r="N30" s="76"/>
    </row>
    <row r="31" spans="1:15" ht="15" customHeight="1" x14ac:dyDescent="0.35">
      <c r="A31" s="103"/>
      <c r="B31" s="103"/>
      <c r="C31" s="103"/>
      <c r="D31" s="103"/>
      <c r="E31" s="103"/>
      <c r="F31" s="103"/>
      <c r="G31" s="103"/>
      <c r="H31" s="103"/>
      <c r="I31" s="103"/>
      <c r="J31" s="103"/>
      <c r="K31" s="103"/>
      <c r="L31" s="76"/>
      <c r="M31" s="76"/>
      <c r="N31" s="76"/>
    </row>
    <row r="32" spans="1:15" ht="15" customHeight="1" x14ac:dyDescent="0.35">
      <c r="A32" s="38"/>
      <c r="B32" s="38"/>
      <c r="C32" s="38"/>
      <c r="D32" s="103"/>
      <c r="E32" s="38"/>
      <c r="F32" s="38"/>
      <c r="G32" s="38"/>
      <c r="H32" s="103"/>
      <c r="I32" s="38"/>
      <c r="J32" s="38"/>
      <c r="K32" s="38"/>
      <c r="M32" s="76"/>
      <c r="N32" s="76"/>
    </row>
    <row r="33" spans="1:14" ht="15" customHeight="1" x14ac:dyDescent="0.35">
      <c r="A33" s="112"/>
      <c r="B33" s="113"/>
      <c r="C33" s="106"/>
      <c r="D33" s="8"/>
      <c r="E33" s="8"/>
      <c r="F33" s="113"/>
      <c r="G33" s="106"/>
      <c r="H33" s="103"/>
      <c r="I33" s="8"/>
      <c r="J33" s="103"/>
      <c r="K33" s="106"/>
      <c r="M33" s="76"/>
      <c r="N33" s="76"/>
    </row>
    <row r="34" spans="1:14" ht="15" customHeight="1" x14ac:dyDescent="0.35">
      <c r="A34" s="103"/>
      <c r="B34" s="8"/>
      <c r="C34" s="8"/>
      <c r="D34" s="8"/>
      <c r="E34" s="8"/>
      <c r="F34" s="8"/>
      <c r="G34" s="8"/>
      <c r="H34" s="8"/>
      <c r="I34" s="8"/>
      <c r="J34" s="114"/>
      <c r="K34" s="114"/>
      <c r="M34" s="76"/>
      <c r="N34" s="76"/>
    </row>
    <row r="35" spans="1:14" ht="15" customHeight="1" x14ac:dyDescent="0.35">
      <c r="A35" s="38"/>
      <c r="B35" s="38"/>
      <c r="C35" s="38"/>
      <c r="D35" s="103"/>
      <c r="E35" s="103"/>
      <c r="F35" s="103"/>
      <c r="G35" s="103"/>
      <c r="H35" s="103"/>
      <c r="I35" s="103"/>
      <c r="J35" s="103"/>
      <c r="K35" s="103"/>
      <c r="L35" s="76"/>
      <c r="M35" s="76"/>
      <c r="N35" s="76"/>
    </row>
    <row r="36" spans="1:14" ht="15" customHeight="1" x14ac:dyDescent="0.35">
      <c r="A36" s="112"/>
      <c r="B36" s="113"/>
      <c r="C36" s="106"/>
      <c r="D36" s="103"/>
      <c r="E36" s="103"/>
      <c r="F36" s="103"/>
      <c r="G36" s="103"/>
      <c r="H36" s="103"/>
      <c r="I36" s="103"/>
      <c r="J36" s="103"/>
      <c r="K36" s="103"/>
      <c r="L36" s="76"/>
      <c r="M36" s="76"/>
      <c r="N36" s="76"/>
    </row>
    <row r="37" spans="1:14" ht="15" customHeight="1" x14ac:dyDescent="0.35">
      <c r="A37" s="112"/>
      <c r="B37" s="8"/>
      <c r="C37" s="103"/>
      <c r="D37" s="103"/>
      <c r="E37" s="103"/>
      <c r="F37" s="103"/>
      <c r="G37" s="103"/>
      <c r="H37" s="103"/>
      <c r="I37" s="103"/>
      <c r="J37" s="103"/>
      <c r="K37" s="103"/>
      <c r="L37" s="76"/>
      <c r="M37" s="76"/>
      <c r="N37" s="76"/>
    </row>
    <row r="38" spans="1:14" ht="15" customHeight="1" x14ac:dyDescent="0.35">
      <c r="L38" s="76"/>
      <c r="M38" s="76"/>
      <c r="N38" s="76"/>
    </row>
  </sheetData>
  <sheetProtection algorithmName="SHA-512" hashValue="qIWb0voYUqaWgs8Wkme4k9tefqQWPJzsp07+qHf79GzJZYZVrkOfhQdk3DXCaHYsoLqHAlMjrFXivQapGaqJcw==" saltValue="kjETdncGbf15kCY4vnRfdA==" spinCount="100000" sheet="1" selectLockedCells="1"/>
  <mergeCells count="5">
    <mergeCell ref="A1:K1"/>
    <mergeCell ref="A2:K2"/>
    <mergeCell ref="F6:H6"/>
    <mergeCell ref="J6:K6"/>
    <mergeCell ref="F4:G4"/>
  </mergeCells>
  <pageMargins left="0.7" right="0.7" top="0.75" bottom="0.75" header="0.3" footer="0.3"/>
  <pageSetup scale="74" orientation="portrait" r:id="rId1"/>
  <rowBreaks count="1" manualBreakCount="1">
    <brk id="26" max="10"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IV41"/>
  <sheetViews>
    <sheetView showGridLines="0" topLeftCell="A5" zoomScaleNormal="100" workbookViewId="0">
      <selection activeCell="I9" sqref="I9"/>
    </sheetView>
  </sheetViews>
  <sheetFormatPr defaultColWidth="10" defaultRowHeight="15" customHeight="1" x14ac:dyDescent="0.35"/>
  <cols>
    <col min="1" max="1" width="22.19921875" style="59" customWidth="1"/>
    <col min="2" max="2" width="21.3984375" style="59" customWidth="1"/>
    <col min="3" max="3" width="17.3984375" style="59" customWidth="1"/>
    <col min="4" max="4" width="14.59765625" style="59" hidden="1" customWidth="1"/>
    <col min="5" max="5" width="28" style="59" hidden="1" customWidth="1"/>
    <col min="6" max="6" width="33.3984375" style="59" customWidth="1"/>
    <col min="7" max="7" width="21.59765625" style="59" customWidth="1"/>
    <col min="8" max="8" width="18.3984375" style="59" customWidth="1"/>
    <col min="9" max="9" width="20.3984375" style="59" customWidth="1"/>
    <col min="10" max="10" width="18.19921875" style="59" customWidth="1"/>
    <col min="11" max="11" width="20.3984375" style="59" customWidth="1"/>
    <col min="12" max="12" width="20.796875" style="59" customWidth="1"/>
    <col min="13" max="208" width="10" style="59"/>
    <col min="209" max="209" width="2" style="59" customWidth="1"/>
    <col min="210" max="16384" width="10" style="59"/>
  </cols>
  <sheetData>
    <row r="1" spans="1:256" ht="15" hidden="1" customHeight="1" x14ac:dyDescent="0.35">
      <c r="A1" s="43" t="str">
        <f>'Budget Plan '!A24</f>
        <v>Revised 7/1/2023</v>
      </c>
      <c r="B1" s="337" t="s">
        <v>166</v>
      </c>
      <c r="C1" s="338">
        <v>10.09</v>
      </c>
      <c r="D1" s="339"/>
      <c r="I1" s="59" t="str">
        <f>'Budget Plan '!A25</f>
        <v>Individualized Budget Plan Software 04-19-02.xls</v>
      </c>
    </row>
    <row r="2" spans="1:256" ht="30.75" customHeight="1" x14ac:dyDescent="0.45">
      <c r="A2" s="426" t="s">
        <v>184</v>
      </c>
      <c r="B2" s="426"/>
      <c r="C2" s="426"/>
      <c r="D2" s="426"/>
      <c r="E2" s="426"/>
      <c r="F2" s="426"/>
      <c r="G2" s="426"/>
      <c r="H2" s="426"/>
      <c r="I2" s="426"/>
      <c r="J2" s="426"/>
      <c r="K2" s="426"/>
    </row>
    <row r="3" spans="1:256" ht="15" customHeight="1" x14ac:dyDescent="0.35">
      <c r="A3" s="445" t="s">
        <v>185</v>
      </c>
      <c r="B3" s="445"/>
      <c r="C3" s="445"/>
      <c r="D3" s="445"/>
      <c r="E3" s="445"/>
      <c r="F3" s="445"/>
      <c r="G3" s="445"/>
      <c r="H3" s="445"/>
      <c r="I3" s="445"/>
      <c r="J3" s="445"/>
      <c r="K3" s="445"/>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row>
    <row r="4" spans="1:256" ht="15" customHeight="1" x14ac:dyDescent="0.35">
      <c r="A4" s="29" t="s">
        <v>85</v>
      </c>
      <c r="B4" s="30"/>
      <c r="C4" s="30"/>
      <c r="F4" s="29" t="s">
        <v>18</v>
      </c>
      <c r="G4" s="340"/>
      <c r="H4" s="31" t="s">
        <v>103</v>
      </c>
      <c r="J4" s="31" t="s">
        <v>104</v>
      </c>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row>
    <row r="5" spans="1:256" ht="15" customHeight="1" x14ac:dyDescent="0.35">
      <c r="A5" s="441">
        <f>'Budget Plan '!A4</f>
        <v>0</v>
      </c>
      <c r="B5" s="442"/>
      <c r="C5" s="6"/>
      <c r="D5" s="76"/>
      <c r="F5" s="34">
        <f>'Budget Plan '!C4</f>
        <v>0</v>
      </c>
      <c r="G5" s="76"/>
      <c r="H5" s="35">
        <f>'Budget Plan '!F4</f>
        <v>0</v>
      </c>
      <c r="I5" s="103"/>
      <c r="J5" s="36">
        <f>'Budget Plan '!H4</f>
        <v>0</v>
      </c>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row>
    <row r="6" spans="1:256" ht="15" customHeight="1" x14ac:dyDescent="0.35">
      <c r="A6" s="29"/>
      <c r="B6" s="29"/>
      <c r="C6" s="29"/>
      <c r="E6" s="76"/>
      <c r="F6" s="100"/>
      <c r="G6" s="38"/>
      <c r="H6" s="103"/>
      <c r="I6" s="78"/>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row>
    <row r="7" spans="1:256" ht="22.5" customHeight="1" thickBot="1" x14ac:dyDescent="0.5">
      <c r="A7" s="426" t="s">
        <v>99</v>
      </c>
      <c r="B7" s="426"/>
      <c r="C7" s="426"/>
      <c r="D7" s="426"/>
      <c r="E7" s="426"/>
      <c r="F7" s="426"/>
      <c r="G7" s="426"/>
      <c r="H7" s="426"/>
      <c r="I7" s="426"/>
      <c r="J7" s="426"/>
      <c r="K7" s="42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c r="IR7" s="76"/>
      <c r="IS7" s="76"/>
      <c r="IT7" s="76"/>
      <c r="IU7" s="76"/>
      <c r="IV7" s="76"/>
    </row>
    <row r="8" spans="1:256" ht="15" customHeight="1" thickTop="1" x14ac:dyDescent="0.35">
      <c r="A8" s="82"/>
      <c r="B8" s="82"/>
      <c r="C8" s="82"/>
      <c r="D8" s="83"/>
      <c r="E8" s="82"/>
      <c r="F8" s="83"/>
      <c r="G8" s="82"/>
      <c r="H8" s="82"/>
      <c r="I8" s="82"/>
      <c r="J8" s="82"/>
      <c r="K8" s="11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6"/>
      <c r="IT8" s="76"/>
      <c r="IU8" s="76"/>
      <c r="IV8" s="76"/>
    </row>
    <row r="9" spans="1:256" ht="15" customHeight="1" x14ac:dyDescent="0.35">
      <c r="A9" s="81"/>
      <c r="B9" s="81"/>
      <c r="C9" s="81"/>
      <c r="D9" s="84"/>
      <c r="E9" s="81"/>
      <c r="F9" s="428" t="s">
        <v>5</v>
      </c>
      <c r="G9" s="428"/>
      <c r="H9" s="428"/>
      <c r="I9" s="281"/>
      <c r="J9" s="81"/>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c r="IR9" s="76"/>
      <c r="IS9" s="76"/>
      <c r="IT9" s="76"/>
      <c r="IU9" s="76"/>
      <c r="IV9" s="76"/>
    </row>
    <row r="10" spans="1:256" ht="15" customHeight="1" x14ac:dyDescent="0.35">
      <c r="A10" s="32" t="s">
        <v>182</v>
      </c>
      <c r="B10" s="32"/>
      <c r="C10" s="85"/>
      <c r="D10" s="86"/>
      <c r="E10" s="30" t="s">
        <v>11</v>
      </c>
      <c r="F10" s="30" t="s">
        <v>9</v>
      </c>
      <c r="G10" s="30" t="s">
        <v>10</v>
      </c>
      <c r="H10" s="30" t="s">
        <v>4</v>
      </c>
      <c r="I10" s="30" t="s">
        <v>13</v>
      </c>
      <c r="J10" s="30" t="s">
        <v>14</v>
      </c>
      <c r="K10" s="30" t="s">
        <v>15</v>
      </c>
    </row>
    <row r="11" spans="1:256" ht="15" customHeight="1" x14ac:dyDescent="0.35">
      <c r="A11" s="87" t="s">
        <v>86</v>
      </c>
      <c r="B11" s="87"/>
      <c r="C11" s="87"/>
      <c r="E11" s="88">
        <v>25.2</v>
      </c>
      <c r="F11" s="282"/>
      <c r="G11" s="341"/>
      <c r="H11" s="283">
        <v>1</v>
      </c>
      <c r="I11" s="235">
        <f>ROUND(((F11*(I9/12))/(H11))+(((G11))/(H11)),1)</f>
        <v>0</v>
      </c>
      <c r="J11" s="244">
        <f>(E11*F11)/(H11)</f>
        <v>0</v>
      </c>
      <c r="K11" s="236">
        <f>ROUND((E11*G11)/(H11),2)</f>
        <v>0</v>
      </c>
    </row>
    <row r="12" spans="1:256" ht="15" customHeight="1" x14ac:dyDescent="0.35">
      <c r="A12" s="87" t="s">
        <v>86</v>
      </c>
      <c r="B12" s="87"/>
      <c r="C12" s="87"/>
      <c r="E12" s="88">
        <v>25.2</v>
      </c>
      <c r="F12" s="284"/>
      <c r="G12" s="341"/>
      <c r="H12" s="283">
        <v>2</v>
      </c>
      <c r="I12" s="235">
        <f>ROUND(((F12*(I9/12))/(H12))+(((G12))/(H12)),1)</f>
        <v>0</v>
      </c>
      <c r="J12" s="244">
        <f>(E12*F12)/(H12)</f>
        <v>0</v>
      </c>
      <c r="K12" s="236">
        <f>ROUND((E12*G12)/(H12),2)</f>
        <v>0</v>
      </c>
    </row>
    <row r="13" spans="1:256" ht="15" customHeight="1" x14ac:dyDescent="0.35">
      <c r="A13" s="87" t="s">
        <v>86</v>
      </c>
      <c r="B13" s="87"/>
      <c r="C13" s="87"/>
      <c r="E13" s="88">
        <v>25.2</v>
      </c>
      <c r="F13" s="279"/>
      <c r="G13" s="341"/>
      <c r="H13" s="283">
        <v>3</v>
      </c>
      <c r="I13" s="235">
        <f>ROUND(((F13*(I9/12))/(H13))+(((G13))/(H13)),1)</f>
        <v>0</v>
      </c>
      <c r="J13" s="244">
        <f>(E13*F13)/(H13)</f>
        <v>0</v>
      </c>
      <c r="K13" s="236">
        <f>ROUND((E13*G13)/(H13),2)</f>
        <v>0</v>
      </c>
    </row>
    <row r="14" spans="1:256" ht="15" customHeight="1" x14ac:dyDescent="0.35">
      <c r="A14" s="87" t="s">
        <v>86</v>
      </c>
      <c r="B14" s="87"/>
      <c r="C14" s="87"/>
      <c r="E14" s="90">
        <v>25.2</v>
      </c>
      <c r="F14" s="285"/>
      <c r="G14" s="341"/>
      <c r="H14" s="283">
        <v>4</v>
      </c>
      <c r="I14" s="346">
        <f>ROUND(((F14*(I9/12))/(H14))+(((G14))/(H14)),1)</f>
        <v>0</v>
      </c>
      <c r="J14" s="245">
        <f>(E14*F14)/(H14)</f>
        <v>0</v>
      </c>
      <c r="K14" s="347">
        <f>ROUND((E14*G14)/(H14),2)</f>
        <v>0</v>
      </c>
    </row>
    <row r="15" spans="1:256" ht="15" customHeight="1" x14ac:dyDescent="0.35">
      <c r="A15" s="76"/>
      <c r="B15" s="76"/>
      <c r="C15" s="76"/>
      <c r="D15" s="91"/>
      <c r="E15" s="323" t="s">
        <v>100</v>
      </c>
      <c r="F15" s="351">
        <f>SUM(F11:F14)</f>
        <v>0</v>
      </c>
      <c r="G15" s="327" t="s">
        <v>101</v>
      </c>
      <c r="H15" s="334"/>
      <c r="I15" s="325">
        <f>SUM(I11:I14)</f>
        <v>0</v>
      </c>
      <c r="J15" s="248">
        <f>SUM(J11:J14)</f>
        <v>0</v>
      </c>
      <c r="K15" s="248">
        <f>SUM(K11:K14)</f>
        <v>0</v>
      </c>
    </row>
    <row r="16" spans="1:256" ht="15" customHeight="1" x14ac:dyDescent="0.35">
      <c r="A16" s="76"/>
      <c r="B16" s="81"/>
      <c r="C16" s="81"/>
      <c r="D16" s="91"/>
      <c r="E16" s="147"/>
      <c r="F16" s="342"/>
      <c r="G16" s="93"/>
      <c r="H16" s="84" t="s">
        <v>171</v>
      </c>
      <c r="I16" s="343"/>
      <c r="J16" s="94"/>
      <c r="K16" s="94"/>
    </row>
    <row r="17" spans="1:15" ht="15" customHeight="1" x14ac:dyDescent="0.35">
      <c r="A17" s="76"/>
      <c r="B17" s="81"/>
      <c r="C17" s="81"/>
      <c r="D17" s="76"/>
      <c r="F17" s="78"/>
      <c r="G17" s="81"/>
      <c r="H17" s="6"/>
      <c r="I17" s="96" t="s">
        <v>87</v>
      </c>
      <c r="J17" s="240">
        <f>IF(ROUND(ROUND(ROUND(ROUND(ROUND(ROUND((J18/G18)*1.096,2)*1.005772,2)*'rate increase'!C2,2)*'rate increase'!C3,2)*'rate increase'!C6,2)*'rate increase'!C6,2)&gt;C1,C1,(ROUND(ROUND(ROUND(ROUND(ROUND(ROUND((J18/G18)*1.096,2)*1.005772,2)*'rate increase'!C2,2)*'rate increase'!C3,2)*'rate increase'!C6,2)*'rate increase'!C6,2)))</f>
        <v>0</v>
      </c>
      <c r="L17" s="76"/>
      <c r="M17" s="76"/>
      <c r="N17" s="76"/>
    </row>
    <row r="18" spans="1:15" ht="15" customHeight="1" x14ac:dyDescent="0.35">
      <c r="A18" s="76"/>
      <c r="B18" s="81"/>
      <c r="C18" s="81"/>
      <c r="D18" s="76"/>
      <c r="F18" s="145" t="s">
        <v>88</v>
      </c>
      <c r="G18" s="348">
        <f>IF(F11+F12+F13+F14&lt;1,1,(F11+F12+F13+F14)*4)</f>
        <v>1</v>
      </c>
      <c r="H18" s="344"/>
      <c r="I18" s="345" t="s">
        <v>89</v>
      </c>
      <c r="J18" s="350">
        <f>ROUND(ROUND(ROUND(ROUND(ROUND(ROUND(IF(J15&gt;151.41,151.41,J15)*1.008,2)*1.105,2)*1.0018,2)*1.08,2)*1.03,3)*1.021,2)</f>
        <v>0</v>
      </c>
      <c r="K18" s="81"/>
      <c r="L18" s="76" t="s">
        <v>40</v>
      </c>
      <c r="M18" s="76"/>
      <c r="N18" s="76"/>
    </row>
    <row r="19" spans="1:15" ht="15" customHeight="1" x14ac:dyDescent="0.35">
      <c r="B19" s="78"/>
      <c r="C19" s="78"/>
      <c r="D19" s="102"/>
      <c r="F19" s="145" t="s">
        <v>90</v>
      </c>
      <c r="G19" s="349">
        <f>ROUND(I9*G18/12,0)</f>
        <v>0</v>
      </c>
      <c r="H19" s="38"/>
      <c r="J19" s="104" t="s">
        <v>91</v>
      </c>
      <c r="K19" s="270">
        <f>ROUND(G19*J17,2)</f>
        <v>0</v>
      </c>
      <c r="L19" s="76"/>
      <c r="M19" s="76"/>
      <c r="N19" s="76"/>
    </row>
    <row r="20" spans="1:15" ht="15" customHeight="1" x14ac:dyDescent="0.35">
      <c r="B20" s="78"/>
      <c r="C20" s="78"/>
      <c r="D20" s="102"/>
      <c r="F20" s="111" t="s">
        <v>92</v>
      </c>
      <c r="G20" s="349">
        <f>ROUND(G18*I9,0)</f>
        <v>0</v>
      </c>
      <c r="H20" s="38"/>
      <c r="J20" s="105" t="s">
        <v>24</v>
      </c>
      <c r="K20" s="270">
        <f>ROUND((J17*G20),2)</f>
        <v>0</v>
      </c>
      <c r="L20" s="76"/>
      <c r="M20" s="76"/>
      <c r="N20" s="76"/>
    </row>
    <row r="21" spans="1:15" ht="15" customHeight="1" x14ac:dyDescent="0.35">
      <c r="A21" s="115" t="s">
        <v>40</v>
      </c>
      <c r="B21" s="78"/>
      <c r="C21" s="78"/>
      <c r="L21" s="76"/>
      <c r="M21" s="76"/>
      <c r="N21" s="76"/>
    </row>
    <row r="22" spans="1:15" ht="27" customHeight="1" thickBot="1" x14ac:dyDescent="0.5">
      <c r="A22" s="426" t="s">
        <v>281</v>
      </c>
      <c r="B22" s="426"/>
      <c r="C22" s="426"/>
      <c r="D22" s="426"/>
      <c r="E22" s="426"/>
      <c r="F22" s="426"/>
      <c r="G22" s="426"/>
      <c r="H22" s="426"/>
      <c r="I22" s="426"/>
      <c r="J22" s="426"/>
      <c r="K22" s="426"/>
      <c r="L22" s="110"/>
      <c r="M22" s="110"/>
      <c r="N22" s="110"/>
      <c r="O22" s="111"/>
    </row>
    <row r="23" spans="1:15" ht="15" customHeight="1" thickTop="1" x14ac:dyDescent="0.35">
      <c r="A23" s="82"/>
      <c r="B23" s="82"/>
      <c r="C23" s="82"/>
      <c r="D23" s="83"/>
      <c r="E23" s="82"/>
      <c r="F23" s="83"/>
      <c r="G23" s="82"/>
      <c r="H23" s="82"/>
      <c r="I23" s="82"/>
      <c r="J23" s="82"/>
      <c r="K23" s="116"/>
    </row>
    <row r="24" spans="1:15" ht="15" customHeight="1" x14ac:dyDescent="0.35">
      <c r="A24" s="81"/>
      <c r="B24" s="81"/>
      <c r="C24" s="81"/>
      <c r="D24" s="84"/>
      <c r="E24" s="81"/>
      <c r="F24" s="428" t="s">
        <v>5</v>
      </c>
      <c r="G24" s="428"/>
      <c r="H24" s="428"/>
      <c r="I24" s="281"/>
      <c r="J24" s="443"/>
      <c r="K24" s="444"/>
    </row>
    <row r="25" spans="1:15" ht="15" customHeight="1" x14ac:dyDescent="0.35">
      <c r="A25" s="32" t="s">
        <v>182</v>
      </c>
      <c r="B25" s="301"/>
      <c r="C25" s="85"/>
      <c r="D25" s="86"/>
      <c r="E25" s="30" t="s">
        <v>11</v>
      </c>
      <c r="F25" s="30" t="s">
        <v>9</v>
      </c>
      <c r="G25" s="30" t="s">
        <v>10</v>
      </c>
      <c r="H25" s="30" t="s">
        <v>4</v>
      </c>
      <c r="I25" s="30" t="s">
        <v>13</v>
      </c>
      <c r="J25" s="30" t="s">
        <v>14</v>
      </c>
      <c r="K25" s="30" t="s">
        <v>15</v>
      </c>
    </row>
    <row r="26" spans="1:15" ht="15" customHeight="1" x14ac:dyDescent="0.35">
      <c r="A26" s="87" t="s">
        <v>86</v>
      </c>
      <c r="B26" s="87"/>
      <c r="C26" s="87"/>
      <c r="E26" s="88">
        <v>25.2</v>
      </c>
      <c r="F26" s="282"/>
      <c r="G26" s="341"/>
      <c r="H26" s="283">
        <v>1</v>
      </c>
      <c r="I26" s="235">
        <f>ROUND(((F26*(I24/12))/(H26))+(((G26))/(H26)),1)</f>
        <v>0</v>
      </c>
      <c r="J26" s="244">
        <f>(E26*F26)/(H26)</f>
        <v>0</v>
      </c>
      <c r="K26" s="236">
        <f>ROUND((E26*G26)/(H26),2)</f>
        <v>0</v>
      </c>
    </row>
    <row r="27" spans="1:15" ht="15" customHeight="1" x14ac:dyDescent="0.35">
      <c r="A27" s="87" t="s">
        <v>86</v>
      </c>
      <c r="B27" s="87"/>
      <c r="C27" s="87"/>
      <c r="E27" s="88">
        <v>25.2</v>
      </c>
      <c r="F27" s="284"/>
      <c r="G27" s="341"/>
      <c r="H27" s="283">
        <v>2</v>
      </c>
      <c r="I27" s="235">
        <f>ROUND(((F27*(I24/12))/(H27))+(((G27))/(H27)),1)</f>
        <v>0</v>
      </c>
      <c r="J27" s="244">
        <f>(E27*F27)/(H27)</f>
        <v>0</v>
      </c>
      <c r="K27" s="236">
        <f>ROUND((E27*G27)/(H27),2)</f>
        <v>0</v>
      </c>
    </row>
    <row r="28" spans="1:15" ht="15" customHeight="1" x14ac:dyDescent="0.35">
      <c r="A28" s="87" t="s">
        <v>86</v>
      </c>
      <c r="B28" s="87"/>
      <c r="C28" s="87"/>
      <c r="E28" s="88">
        <v>25.2</v>
      </c>
      <c r="F28" s="279"/>
      <c r="G28" s="341"/>
      <c r="H28" s="283">
        <v>3</v>
      </c>
      <c r="I28" s="235">
        <f>ROUND(((F28*(I24/12))/(H28))+(((G28))/(H28)),1)</f>
        <v>0</v>
      </c>
      <c r="J28" s="244">
        <f>(E28*F28)/(H28)</f>
        <v>0</v>
      </c>
      <c r="K28" s="236">
        <f>ROUND((E28*G28)/(H28),2)</f>
        <v>0</v>
      </c>
    </row>
    <row r="29" spans="1:15" ht="15" customHeight="1" x14ac:dyDescent="0.35">
      <c r="A29" s="87" t="s">
        <v>86</v>
      </c>
      <c r="B29" s="87"/>
      <c r="C29" s="87"/>
      <c r="E29" s="90">
        <v>25.2</v>
      </c>
      <c r="F29" s="285"/>
      <c r="G29" s="341"/>
      <c r="H29" s="283">
        <v>4</v>
      </c>
      <c r="I29" s="346">
        <f>ROUND(((F29*(I24/12))/(H29))+(((G29))/(H29)),1)</f>
        <v>0</v>
      </c>
      <c r="J29" s="245">
        <f>(E29*F29)/(H29)</f>
        <v>0</v>
      </c>
      <c r="K29" s="347">
        <f>ROUND((E29*G29)/(H29),2)</f>
        <v>0</v>
      </c>
    </row>
    <row r="30" spans="1:15" ht="15" customHeight="1" x14ac:dyDescent="0.35">
      <c r="A30" s="76"/>
      <c r="B30" s="76"/>
      <c r="C30" s="76"/>
      <c r="D30" s="91"/>
      <c r="E30" s="323" t="s">
        <v>100</v>
      </c>
      <c r="F30" s="351">
        <f>SUM(F26:F29)</f>
        <v>0</v>
      </c>
      <c r="G30" s="327" t="s">
        <v>102</v>
      </c>
      <c r="H30" s="334"/>
      <c r="I30" s="325">
        <f>SUM(I26:I29)</f>
        <v>0</v>
      </c>
      <c r="J30" s="248">
        <f>SUM(J26:J29)</f>
        <v>0</v>
      </c>
      <c r="K30" s="248">
        <f>SUM(K26:K29)</f>
        <v>0</v>
      </c>
    </row>
    <row r="31" spans="1:15" ht="15" customHeight="1" x14ac:dyDescent="0.35">
      <c r="A31" s="76"/>
      <c r="B31" s="76"/>
      <c r="C31" s="76"/>
      <c r="D31" s="91"/>
      <c r="E31" s="92"/>
      <c r="F31" s="92"/>
      <c r="G31" s="93"/>
      <c r="H31" s="84" t="s">
        <v>171</v>
      </c>
      <c r="I31" s="343"/>
      <c r="K31" s="94"/>
    </row>
    <row r="32" spans="1:15" ht="15" customHeight="1" x14ac:dyDescent="0.35">
      <c r="A32" s="76"/>
      <c r="B32" s="76"/>
      <c r="C32" s="76"/>
      <c r="D32" s="76"/>
      <c r="F32" s="78"/>
      <c r="G32" s="81"/>
      <c r="H32" s="6"/>
      <c r="I32" s="96" t="s">
        <v>87</v>
      </c>
      <c r="J32" s="240">
        <f>IF(ROUND(ROUND(ROUND(ROUND(ROUND((J33/G33)*1.096,2)*1.005772,2)*'rate increase'!C2,2)*'rate increase'!C3,2)*'rate increase'!C6,2)&gt;C1,C1,(ROUND(ROUND(ROUND(ROUND(ROUND((J33/G33)*1.096,2)*1.005772,2)*'rate increase'!C2,2)*'rate increase'!C3,2)*'rate increase'!C6,2)))</f>
        <v>0</v>
      </c>
    </row>
    <row r="33" spans="1:11" ht="15" customHeight="1" x14ac:dyDescent="0.35">
      <c r="A33" s="76"/>
      <c r="B33" s="76"/>
      <c r="C33" s="76"/>
      <c r="D33" s="76"/>
      <c r="F33" s="145" t="s">
        <v>88</v>
      </c>
      <c r="G33" s="348">
        <f>IF(F26+F27+F28+F29&lt;1,1,(F26+F27+F28+F29)*4)</f>
        <v>1</v>
      </c>
      <c r="H33" s="344"/>
      <c r="I33" s="345" t="s">
        <v>89</v>
      </c>
      <c r="J33" s="352">
        <f>ROUND(ROUND(ROUND(ROUND(ROUND(ROUND(IF(J30&gt;252.001,252,J30)*1.008,2)*1.105,2)*1.0018,2)*1.08,2)*1.03,2)*1.021,2)</f>
        <v>0</v>
      </c>
      <c r="K33" s="81"/>
    </row>
    <row r="34" spans="1:11" ht="15" customHeight="1" x14ac:dyDescent="0.35">
      <c r="D34" s="102"/>
      <c r="F34" s="145" t="s">
        <v>90</v>
      </c>
      <c r="G34" s="349">
        <f>ROUND(I24*G33/12,0)</f>
        <v>0</v>
      </c>
      <c r="H34" s="38"/>
      <c r="J34" s="104" t="s">
        <v>91</v>
      </c>
      <c r="K34" s="270">
        <f>ROUND(G34*J32,2)</f>
        <v>0</v>
      </c>
    </row>
    <row r="35" spans="1:11" ht="15" customHeight="1" x14ac:dyDescent="0.35">
      <c r="D35" s="102"/>
      <c r="F35" s="111" t="s">
        <v>92</v>
      </c>
      <c r="G35" s="349">
        <f>ROUND(G33*I24,0)</f>
        <v>0</v>
      </c>
      <c r="H35" s="38"/>
      <c r="J35" s="105" t="s">
        <v>24</v>
      </c>
      <c r="K35" s="270">
        <f>ROUND((J32*G35),2)</f>
        <v>0</v>
      </c>
    </row>
    <row r="37" spans="1:11" ht="15" customHeight="1" x14ac:dyDescent="0.35">
      <c r="A37" s="1" t="str">
        <f>'Budget Plan '!A24</f>
        <v>Revised 7/1/2023</v>
      </c>
    </row>
    <row r="38" spans="1:11" ht="15" customHeight="1" x14ac:dyDescent="0.35">
      <c r="A38" s="4" t="s">
        <v>43</v>
      </c>
    </row>
    <row r="39" spans="1:11" ht="15" customHeight="1" x14ac:dyDescent="0.35">
      <c r="A39" s="4" t="s">
        <v>6</v>
      </c>
    </row>
    <row r="41" spans="1:11" ht="15" customHeight="1" x14ac:dyDescent="0.35">
      <c r="A41" s="115"/>
    </row>
  </sheetData>
  <sheetProtection algorithmName="SHA-512" hashValue="KNoqxekNpCZfEa2eOxDB13azyuTzc2EPgLyjspE44HTC+5tcwRNXhnqOffF0b6Wm+tdWPURPOn0K3BAyTJ+fEg==" saltValue="hxTO7RS9D1uFZJly/J1QcA==" spinCount="100000" sheet="1" selectLockedCells="1"/>
  <mergeCells count="8">
    <mergeCell ref="F24:H24"/>
    <mergeCell ref="A2:K2"/>
    <mergeCell ref="F9:H9"/>
    <mergeCell ref="A5:B5"/>
    <mergeCell ref="J24:K24"/>
    <mergeCell ref="A3:K3"/>
    <mergeCell ref="A7:K7"/>
    <mergeCell ref="A22:K22"/>
  </mergeCells>
  <phoneticPr fontId="2" type="noConversion"/>
  <pageMargins left="0.7" right="0.7" top="0.75" bottom="0.75" header="0.3" footer="0.3"/>
  <pageSetup scale="7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Budget Plan </vt:lpstr>
      <vt:lpstr>RHS</vt:lpstr>
      <vt:lpstr>PPS HHS</vt:lpstr>
      <vt:lpstr>DSG</vt:lpstr>
      <vt:lpstr>SEE SEI DSI</vt:lpstr>
      <vt:lpstr>DSP 6 hr Daily</vt:lpstr>
      <vt:lpstr>DSP 10 hr Daily</vt:lpstr>
      <vt:lpstr>DSP Qtr Hr  </vt:lpstr>
      <vt:lpstr>EPR 6 hr Daily</vt:lpstr>
      <vt:lpstr>EPR 10 hr Daily</vt:lpstr>
      <vt:lpstr>EPR Qtr Hr</vt:lpstr>
      <vt:lpstr>Instructions</vt:lpstr>
      <vt:lpstr>rate increase</vt:lpstr>
      <vt:lpstr>'Budget Plan '!Print_Area</vt:lpstr>
      <vt:lpstr>DSG!Print_Area</vt:lpstr>
      <vt:lpstr>'DSP 10 hr Daily'!Print_Area</vt:lpstr>
      <vt:lpstr>'DSP 6 hr Daily'!Print_Area</vt:lpstr>
      <vt:lpstr>'DSP Qtr Hr  '!Print_Area</vt:lpstr>
      <vt:lpstr>'EPR 10 hr Daily'!Print_Area</vt:lpstr>
      <vt:lpstr>'EPR 6 hr Daily'!Print_Area</vt:lpstr>
      <vt:lpstr>'EPR Qtr Hr'!Print_Area</vt:lpstr>
      <vt:lpstr>'PPS HHS'!Print_Area</vt:lpstr>
      <vt:lpstr>RHS!Print_Area</vt:lpstr>
      <vt:lpstr>DSG!Print_Area_MI</vt:lpstr>
      <vt:lpstr>'PPS HHS'!Print_Area_MI</vt:lpstr>
      <vt:lpstr>RHS!Print_Area_MI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ASL Rate Sheets</dc:title>
  <dc:creator>State of Utah</dc:creator>
  <cp:lastModifiedBy>Kristen Cornia</cp:lastModifiedBy>
  <cp:lastPrinted>2023-06-27T21:49:01Z</cp:lastPrinted>
  <dcterms:created xsi:type="dcterms:W3CDTF">1997-09-26T15:17:33Z</dcterms:created>
  <dcterms:modified xsi:type="dcterms:W3CDTF">2023-08-04T14:38:37Z</dcterms:modified>
</cp:coreProperties>
</file>