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mc:AlternateContent xmlns:mc="http://schemas.openxmlformats.org/markup-compatibility/2006">
    <mc:Choice Requires="x15">
      <x15ac:absPath xmlns:x15ac="http://schemas.microsoft.com/office/spreadsheetml/2010/11/ac" url="C:\Users\timlewis\Desktop\"/>
    </mc:Choice>
  </mc:AlternateContent>
  <xr:revisionPtr revIDLastSave="0" documentId="13_ncr:1_{AB91AAA3-9B53-453A-93CA-F0BC3F453EB3}" xr6:coauthVersionLast="47" xr6:coauthVersionMax="47" xr10:uidLastSave="{00000000-0000-0000-0000-000000000000}"/>
  <bookViews>
    <workbookView xWindow="-120" yWindow="-120" windowWidth="29040" windowHeight="15720" tabRatio="758" firstSheet="1" activeTab="11" xr2:uid="{A82460E5-C26B-4ADA-8093-7C3FBC9BEE44}"/>
  </bookViews>
  <sheets>
    <sheet name="Recovered_Sheet1" sheetId="6" state="veryHidden" r:id="rId1"/>
    <sheet name="Budget Plan " sheetId="23" r:id="rId2"/>
    <sheet name="RHS" sheetId="1" r:id="rId3"/>
    <sheet name="PPS HHS" sheetId="24" r:id="rId4"/>
    <sheet name="DSG" sheetId="41" r:id="rId5"/>
    <sheet name="SEE SEI DSI" sheetId="44" r:id="rId6"/>
    <sheet name="DSP 6 hr Daily" sheetId="48" r:id="rId7"/>
    <sheet name="DSP 10 hr Daily" sheetId="49" r:id="rId8"/>
    <sheet name="DSP Qtr Hr  " sheetId="46" r:id="rId9"/>
    <sheet name="EPR 6 hr Daily" sheetId="54" r:id="rId10"/>
    <sheet name="EPR 10 hr Daily" sheetId="55" r:id="rId11"/>
    <sheet name="EPR Qtr Hr" sheetId="56" r:id="rId12"/>
    <sheet name="Instructions" sheetId="47" r:id="rId13"/>
    <sheet name="rate increase" sheetId="53" state="hidden" r:id="rId14"/>
  </sheets>
  <definedNames>
    <definedName name="_Order1" hidden="1">255</definedName>
    <definedName name="_Order2" hidden="1">255</definedName>
    <definedName name="_xlnm.Print_Area" localSheetId="1">'Budget Plan '!$A$1:$J$33</definedName>
    <definedName name="_xlnm.Print_Area" localSheetId="7">'DSP 10 hr Daily'!$A$1:$L$26</definedName>
    <definedName name="_xlnm.Print_Area" localSheetId="6">'DSP 6 hr Daily'!$A$1:$L$25</definedName>
    <definedName name="_xlnm.Print_Area" localSheetId="10">'EPR 10 hr Daily'!$A$1:$K$26</definedName>
    <definedName name="_xlnm.Print_Area" localSheetId="9">'EPR 6 hr Daily'!$A$1:$K$26</definedName>
    <definedName name="_xlnm.Print_Area" localSheetId="11">'EPR Qtr Hr'!$A$1:$K$33</definedName>
    <definedName name="_xlnm.Print_Area" localSheetId="3">'PPS HHS'!$A$1:$K$44</definedName>
    <definedName name="_xlnm.Print_Area" localSheetId="2">RHS!$A$1:$J$34</definedName>
    <definedName name="Print_Area_MI" localSheetId="4">DSG!$A$1:$J$15</definedName>
    <definedName name="Print_Area_MI" localSheetId="3">'PPS HHS'!$A$1:$J$35</definedName>
    <definedName name="Print_Area_MI" localSheetId="2">RHS!$A$1:$J$25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4" l="1"/>
  <c r="J4" i="1" l="1"/>
  <c r="J4" i="24"/>
  <c r="I18" i="1"/>
  <c r="A30" i="56" l="1"/>
  <c r="A22" i="55"/>
  <c r="A22" i="54"/>
  <c r="A31" i="46"/>
  <c r="A22" i="49"/>
  <c r="A21" i="48"/>
  <c r="A27" i="44"/>
  <c r="A22" i="41"/>
  <c r="A42" i="24"/>
  <c r="A32" i="1"/>
  <c r="J24" i="56" l="1"/>
  <c r="J25" i="56"/>
  <c r="J26" i="56"/>
  <c r="J27" i="56"/>
  <c r="G31" i="56"/>
  <c r="G32" i="56" s="1"/>
  <c r="J10" i="56"/>
  <c r="J11" i="56"/>
  <c r="J12" i="56"/>
  <c r="G17" i="56"/>
  <c r="G19" i="56" s="1"/>
  <c r="D20" i="23" s="1"/>
  <c r="I8" i="55"/>
  <c r="I9" i="55"/>
  <c r="I10" i="55"/>
  <c r="I11" i="55"/>
  <c r="I8" i="54"/>
  <c r="I9" i="54"/>
  <c r="I10" i="54"/>
  <c r="I11" i="54"/>
  <c r="I8" i="49"/>
  <c r="I9" i="49"/>
  <c r="I10" i="49"/>
  <c r="I11" i="49"/>
  <c r="I8" i="48"/>
  <c r="I9" i="48"/>
  <c r="I10" i="48"/>
  <c r="I11" i="48"/>
  <c r="H8" i="41"/>
  <c r="H9" i="41"/>
  <c r="H10" i="41"/>
  <c r="H11" i="41"/>
  <c r="H8" i="24"/>
  <c r="H9" i="24"/>
  <c r="H11" i="24"/>
  <c r="J13" i="56"/>
  <c r="G17" i="46"/>
  <c r="J10" i="46"/>
  <c r="J11" i="46"/>
  <c r="J12" i="46"/>
  <c r="J13" i="46"/>
  <c r="K22" i="44"/>
  <c r="K21" i="44" s="1"/>
  <c r="J8" i="55"/>
  <c r="J9" i="55"/>
  <c r="J10" i="55"/>
  <c r="J11" i="55"/>
  <c r="K8" i="55"/>
  <c r="K9" i="55"/>
  <c r="K10" i="55"/>
  <c r="K11" i="55"/>
  <c r="J8" i="54"/>
  <c r="J9" i="54"/>
  <c r="J10" i="54"/>
  <c r="J11" i="54"/>
  <c r="K8" i="54"/>
  <c r="K9" i="54"/>
  <c r="K10" i="54"/>
  <c r="K11" i="54"/>
  <c r="D18" i="23"/>
  <c r="K24" i="56"/>
  <c r="K25" i="56"/>
  <c r="K26" i="56"/>
  <c r="K27" i="56"/>
  <c r="I24" i="56"/>
  <c r="I25" i="56"/>
  <c r="I26" i="56"/>
  <c r="I27" i="56"/>
  <c r="F28" i="56"/>
  <c r="K10" i="56"/>
  <c r="K11" i="56"/>
  <c r="K12" i="56"/>
  <c r="K13" i="56"/>
  <c r="I10" i="56"/>
  <c r="I11" i="56"/>
  <c r="I12" i="56"/>
  <c r="I13" i="56"/>
  <c r="F14" i="56"/>
  <c r="J5" i="56"/>
  <c r="H5" i="56"/>
  <c r="F5" i="56"/>
  <c r="A5" i="56"/>
  <c r="I1" i="56"/>
  <c r="A1" i="56"/>
  <c r="F12" i="55"/>
  <c r="K4" i="55"/>
  <c r="I4" i="55"/>
  <c r="F4" i="55"/>
  <c r="A4" i="55"/>
  <c r="F12" i="54"/>
  <c r="K4" i="54"/>
  <c r="I4" i="54"/>
  <c r="F4" i="54"/>
  <c r="A4" i="54"/>
  <c r="J24" i="46"/>
  <c r="J25" i="46"/>
  <c r="J26" i="46"/>
  <c r="J27" i="46"/>
  <c r="G31" i="46"/>
  <c r="G33" i="46" s="1"/>
  <c r="D17" i="23" s="1"/>
  <c r="J5" i="46"/>
  <c r="H5" i="46"/>
  <c r="J8" i="49"/>
  <c r="J9" i="49"/>
  <c r="J10" i="49"/>
  <c r="J11" i="49"/>
  <c r="K8" i="49"/>
  <c r="K9" i="49"/>
  <c r="K10" i="49"/>
  <c r="K11" i="49"/>
  <c r="J8" i="48"/>
  <c r="J9" i="48"/>
  <c r="J10" i="48"/>
  <c r="J11" i="48"/>
  <c r="K8" i="48"/>
  <c r="K9" i="48"/>
  <c r="K10" i="48"/>
  <c r="K11" i="48"/>
  <c r="I8" i="41"/>
  <c r="I9" i="41"/>
  <c r="I10" i="41"/>
  <c r="I11" i="41"/>
  <c r="J8" i="41"/>
  <c r="J9" i="41"/>
  <c r="J10" i="41"/>
  <c r="J11" i="41"/>
  <c r="F9" i="44"/>
  <c r="F24" i="44"/>
  <c r="B24" i="44"/>
  <c r="D24" i="44" s="1"/>
  <c r="G24" i="44" s="1"/>
  <c r="I8" i="24"/>
  <c r="I9" i="24"/>
  <c r="J22" i="24"/>
  <c r="J25" i="24"/>
  <c r="E14" i="24"/>
  <c r="J8" i="24"/>
  <c r="J9" i="24"/>
  <c r="A2" i="24"/>
  <c r="A2" i="41"/>
  <c r="A2" i="1"/>
  <c r="I12" i="1"/>
  <c r="I13" i="1"/>
  <c r="I14" i="1"/>
  <c r="I15" i="1"/>
  <c r="I11" i="1"/>
  <c r="I16" i="1"/>
  <c r="I19" i="1"/>
  <c r="I22" i="1"/>
  <c r="J13" i="1"/>
  <c r="J11" i="1"/>
  <c r="J12" i="1"/>
  <c r="J14" i="1"/>
  <c r="J15" i="1"/>
  <c r="J16" i="1"/>
  <c r="G7" i="1"/>
  <c r="G8" i="1" s="1"/>
  <c r="H29" i="1" s="1"/>
  <c r="D11" i="24"/>
  <c r="I11" i="24" s="1"/>
  <c r="K4" i="48"/>
  <c r="I4" i="48"/>
  <c r="F4" i="48"/>
  <c r="A4" i="48"/>
  <c r="F12" i="48"/>
  <c r="F12" i="49"/>
  <c r="K4" i="49"/>
  <c r="I4" i="49"/>
  <c r="F4" i="49"/>
  <c r="A4" i="49"/>
  <c r="L5" i="44"/>
  <c r="J5" i="44"/>
  <c r="I4" i="24"/>
  <c r="G4" i="24"/>
  <c r="I4" i="41"/>
  <c r="G4" i="41"/>
  <c r="I4" i="1"/>
  <c r="G4" i="1"/>
  <c r="D5" i="44"/>
  <c r="A5" i="44"/>
  <c r="F28" i="46"/>
  <c r="F14" i="46"/>
  <c r="K27" i="46"/>
  <c r="I27" i="46"/>
  <c r="K26" i="46"/>
  <c r="K24" i="46"/>
  <c r="K25" i="46"/>
  <c r="I26" i="46"/>
  <c r="I25" i="46"/>
  <c r="I24" i="46"/>
  <c r="I10" i="46"/>
  <c r="I11" i="46"/>
  <c r="I12" i="46"/>
  <c r="I13" i="46"/>
  <c r="I1" i="46"/>
  <c r="A1" i="46"/>
  <c r="F5" i="46"/>
  <c r="A5" i="46"/>
  <c r="K10" i="46"/>
  <c r="K11" i="46"/>
  <c r="K12" i="46"/>
  <c r="K13" i="46"/>
  <c r="B21" i="44"/>
  <c r="D21" i="44" s="1"/>
  <c r="G21" i="44" s="1"/>
  <c r="F21" i="44"/>
  <c r="B18" i="44"/>
  <c r="D18" i="44" s="1"/>
  <c r="G18" i="44" s="1"/>
  <c r="F18" i="44"/>
  <c r="B15" i="44"/>
  <c r="D15" i="44" s="1"/>
  <c r="G15" i="44" s="1"/>
  <c r="F15" i="44"/>
  <c r="B12" i="44"/>
  <c r="D12" i="44" s="1"/>
  <c r="G12" i="44" s="1"/>
  <c r="F12" i="44"/>
  <c r="D9" i="44"/>
  <c r="G9" i="44" s="1"/>
  <c r="E4" i="41"/>
  <c r="A4" i="41"/>
  <c r="E4" i="24"/>
  <c r="A4" i="24"/>
  <c r="E4" i="1"/>
  <c r="A4" i="1"/>
  <c r="H22" i="1"/>
  <c r="H11" i="1"/>
  <c r="H12" i="1"/>
  <c r="H13" i="1"/>
  <c r="H14" i="1"/>
  <c r="H18" i="1"/>
  <c r="H15" i="1"/>
  <c r="H16" i="1"/>
  <c r="H19" i="1"/>
  <c r="G19" i="46" l="1"/>
  <c r="D16" i="23" s="1"/>
  <c r="G18" i="46"/>
  <c r="J12" i="55"/>
  <c r="I12" i="41"/>
  <c r="K12" i="49"/>
  <c r="K12" i="48"/>
  <c r="J23" i="1"/>
  <c r="J28" i="56"/>
  <c r="J31" i="56" s="1"/>
  <c r="J14" i="56"/>
  <c r="J17" i="56" s="1"/>
  <c r="K14" i="56"/>
  <c r="K12" i="55"/>
  <c r="I12" i="54"/>
  <c r="H13" i="54" s="1"/>
  <c r="F18" i="23" s="1"/>
  <c r="K12" i="54"/>
  <c r="K14" i="46"/>
  <c r="K28" i="46"/>
  <c r="J12" i="41"/>
  <c r="F21" i="23"/>
  <c r="L30" i="44"/>
  <c r="B36" i="44" s="1"/>
  <c r="D13" i="23" s="1"/>
  <c r="K28" i="56"/>
  <c r="J12" i="54"/>
  <c r="K15" i="54" s="1"/>
  <c r="J17" i="54" s="1"/>
  <c r="J18" i="54" s="1"/>
  <c r="K20" i="54" s="1"/>
  <c r="J12" i="24"/>
  <c r="J12" i="49"/>
  <c r="K15" i="49" s="1"/>
  <c r="J17" i="49" s="1"/>
  <c r="J18" i="49" s="1"/>
  <c r="K20" i="49" s="1"/>
  <c r="F20" i="23"/>
  <c r="G33" i="56"/>
  <c r="D21" i="23" s="1"/>
  <c r="I14" i="56"/>
  <c r="I28" i="56"/>
  <c r="G18" i="56"/>
  <c r="I12" i="55"/>
  <c r="H13" i="55" s="1"/>
  <c r="J28" i="46"/>
  <c r="J31" i="46" s="1"/>
  <c r="I28" i="46"/>
  <c r="J14" i="46"/>
  <c r="J17" i="46" s="1"/>
  <c r="J16" i="46" s="1"/>
  <c r="G32" i="46"/>
  <c r="F17" i="23"/>
  <c r="I14" i="46"/>
  <c r="I12" i="49"/>
  <c r="H13" i="49" s="1"/>
  <c r="F15" i="23" s="1"/>
  <c r="J12" i="48"/>
  <c r="K15" i="48" s="1"/>
  <c r="J17" i="48" s="1"/>
  <c r="J18" i="48" s="1"/>
  <c r="K20" i="48" s="1"/>
  <c r="I12" i="48"/>
  <c r="H20" i="1"/>
  <c r="F24" i="1" s="1"/>
  <c r="D10" i="23" s="1"/>
  <c r="I23" i="1"/>
  <c r="H12" i="41"/>
  <c r="F13" i="41" s="1"/>
  <c r="D12" i="23" s="1"/>
  <c r="I12" i="24"/>
  <c r="F16" i="23"/>
  <c r="L15" i="44"/>
  <c r="F13" i="23"/>
  <c r="J16" i="24"/>
  <c r="J18" i="24" s="1"/>
  <c r="F11" i="23" s="1"/>
  <c r="J30" i="56" l="1"/>
  <c r="K32" i="56" s="1"/>
  <c r="J16" i="56"/>
  <c r="K19" i="56" s="1"/>
  <c r="K15" i="55"/>
  <c r="J17" i="55" s="1"/>
  <c r="J18" i="55" s="1"/>
  <c r="J30" i="46"/>
  <c r="C17" i="23" s="1"/>
  <c r="K19" i="46"/>
  <c r="I15" i="41"/>
  <c r="I18" i="41" s="1"/>
  <c r="I17" i="41" s="1"/>
  <c r="J19" i="41" s="1"/>
  <c r="J25" i="1"/>
  <c r="I27" i="1" s="1"/>
  <c r="I28" i="1" s="1"/>
  <c r="C18" i="23"/>
  <c r="K19" i="49"/>
  <c r="K19" i="54"/>
  <c r="J34" i="24"/>
  <c r="H13" i="48"/>
  <c r="F14" i="23" s="1"/>
  <c r="K20" i="55"/>
  <c r="K19" i="55"/>
  <c r="C19" i="23"/>
  <c r="F19" i="23"/>
  <c r="D19" i="23"/>
  <c r="D15" i="23"/>
  <c r="C15" i="23"/>
  <c r="K19" i="48"/>
  <c r="F10" i="23"/>
  <c r="C12" i="23"/>
  <c r="F12" i="23"/>
  <c r="J14" i="24"/>
  <c r="K17" i="24" s="1"/>
  <c r="J35" i="24"/>
  <c r="L16" i="44"/>
  <c r="L32" i="44" s="1"/>
  <c r="L31" i="44"/>
  <c r="K18" i="56" l="1"/>
  <c r="C20" i="23"/>
  <c r="C21" i="23"/>
  <c r="K33" i="56"/>
  <c r="C16" i="23"/>
  <c r="K33" i="46"/>
  <c r="K32" i="46"/>
  <c r="K18" i="46"/>
  <c r="J20" i="41"/>
  <c r="D14" i="23"/>
  <c r="J36" i="24"/>
  <c r="K36" i="24" s="1"/>
  <c r="J39" i="24" s="1"/>
  <c r="C14" i="23"/>
  <c r="I29" i="1"/>
  <c r="I30" i="1" s="1"/>
  <c r="K24" i="44"/>
  <c r="C13" i="23" s="1"/>
  <c r="J32" i="1" l="1"/>
  <c r="J31" i="1"/>
  <c r="C10" i="23"/>
  <c r="J40" i="24"/>
  <c r="J41" i="24" s="1"/>
  <c r="C11"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DSPD</author>
  </authors>
  <commentList>
    <comment ref="C6" authorId="0" shapeId="0" xr:uid="{00000000-0006-0000-0100-000001000000}">
      <text>
        <r>
          <rPr>
            <b/>
            <sz val="8"/>
            <color indexed="81"/>
            <rFont val="Open Sans"/>
          </rPr>
          <t>DSPD:</t>
        </r>
        <r>
          <rPr>
            <sz val="8"/>
            <color indexed="81"/>
            <rFont val="Open Sans"/>
          </rPr>
          <t xml:space="preserve">
Ages 0-11 WHX 11.73
Ages 12-15 WHX 12.69
Ages 16+ WHX 13.66</t>
        </r>
        <r>
          <rPr>
            <sz val="8"/>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3693E930-787B-4697-9F4E-1AA5FBF88AE7}">
      <text>
        <r>
          <rPr>
            <sz val="8"/>
            <color indexed="81"/>
            <rFont val="Tahoma"/>
            <family val="2"/>
          </rPr>
          <t xml:space="preserve">Enter the Annual number of days of EPR Supports  that are approved
</t>
        </r>
      </text>
    </comment>
    <comment ref="K15" authorId="1" shapeId="0" xr:uid="{1D54926A-C395-400D-BB5C-330DCD69B83D}">
      <text>
        <r>
          <rPr>
            <b/>
            <sz val="8"/>
            <color indexed="81"/>
            <rFont val="Tahoma"/>
            <family val="2"/>
          </rPr>
          <t>DSPD:</t>
        </r>
        <r>
          <rPr>
            <sz val="8"/>
            <color indexed="81"/>
            <rFont val="Tahoma"/>
            <family val="2"/>
          </rPr>
          <t xml:space="preserve">
Old worksheet Percentage
.195 +  .14 
Old worksheet Fixed Costs
6.84
detail on formula
 (6.84)+(.195+.14)
</t>
        </r>
      </text>
    </comment>
    <comment ref="J17" authorId="1" shapeId="0" xr:uid="{98AA4869-6901-4E80-9966-6CFCEF4D7986}">
      <text>
        <r>
          <rPr>
            <b/>
            <sz val="8"/>
            <color indexed="81"/>
            <rFont val="Tahoma"/>
            <family val="2"/>
          </rPr>
          <t>DSPD:</t>
        </r>
        <r>
          <rPr>
            <sz val="8"/>
            <color indexed="81"/>
            <rFont val="Tahoma"/>
            <family val="2"/>
          </rPr>
          <t xml:space="preserve">
FY18-19 rate increase of 2.1
 percent added in this cell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Steven M. Wrigley</author>
    <author>DHS</author>
  </authors>
  <commentList>
    <comment ref="I8" authorId="0" shapeId="0" xr:uid="{DA1AE348-0D6D-4869-97A1-09ED0EC6F189}">
      <text>
        <r>
          <rPr>
            <sz val="8"/>
            <color indexed="81"/>
            <rFont val="Tahoma"/>
            <family val="2"/>
          </rPr>
          <t xml:space="preserve">Enter the Annual number of days of EPR 
 Supports that are approved. 
</t>
        </r>
      </text>
    </comment>
    <comment ref="F9" authorId="1" shapeId="0" xr:uid="{F0652406-1952-4A54-AC81-E79C0865ADDF}">
      <text>
        <r>
          <rPr>
            <sz val="11"/>
            <color indexed="81"/>
            <rFont val="Tahoma"/>
            <family val="2"/>
          </rPr>
          <t xml:space="preserve">Total hours  
 must not exceed 6 hours
</t>
        </r>
      </text>
    </comment>
    <comment ref="I22" authorId="0" shapeId="0" xr:uid="{B45E0547-D90C-4D7D-AD9B-4D762DC79B99}">
      <text>
        <r>
          <rPr>
            <sz val="9"/>
            <color indexed="81"/>
            <rFont val="Tahoma"/>
            <family val="2"/>
          </rPr>
          <t xml:space="preserve">Enter the Annual number of days of EPR supports that are approved.                 
</t>
        </r>
        <r>
          <rPr>
            <sz val="8"/>
            <color indexed="81"/>
            <rFont val="Tahoma"/>
            <family val="2"/>
          </rPr>
          <t xml:space="preserve">
</t>
        </r>
      </text>
    </comment>
    <comment ref="F23" authorId="1" shapeId="0" xr:uid="{E36C5AEE-D32D-4BE2-9636-7F53A5183446}">
      <text>
        <r>
          <rPr>
            <sz val="11"/>
            <color indexed="81"/>
            <rFont val="Tahoma"/>
            <family val="2"/>
          </rPr>
          <t>Total hours must not exceed 10 hours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DHS</author>
    <author>DSPD</author>
  </authors>
  <commentList>
    <comment ref="I8" authorId="0" shapeId="0" xr:uid="{00000000-0006-0000-0200-000001000000}">
      <text>
        <r>
          <rPr>
            <sz val="10"/>
            <color indexed="81"/>
            <rFont val="Tahoma"/>
            <family val="2"/>
          </rPr>
          <t>Cannot exceed 30 days without RFS approval</t>
        </r>
        <r>
          <rPr>
            <sz val="8"/>
            <color indexed="81"/>
            <rFont val="Tahoma"/>
            <family val="2"/>
          </rPr>
          <t xml:space="preserve">
</t>
        </r>
      </text>
    </comment>
    <comment ref="I18" authorId="0" shapeId="0" xr:uid="{00000000-0006-0000-0200-000003000000}">
      <text>
        <r>
          <rPr>
            <b/>
            <sz val="8"/>
            <color indexed="81"/>
            <rFont val="Tahoma"/>
            <family val="2"/>
          </rPr>
          <t>DHS:</t>
        </r>
        <r>
          <rPr>
            <sz val="8"/>
            <color indexed="81"/>
            <rFont val="Tahoma"/>
            <family val="2"/>
          </rPr>
          <t xml:space="preserve">
USE 7 INSTEAD OF 2 IN ORDER TO TIE TO DAILY WORKSHEET RATE!</t>
        </r>
      </text>
    </comment>
    <comment ref="I19" authorId="0" shapeId="0" xr:uid="{00000000-0006-0000-0200-000004000000}">
      <text>
        <r>
          <rPr>
            <b/>
            <sz val="8"/>
            <color indexed="81"/>
            <rFont val="Tahoma"/>
            <family val="2"/>
          </rPr>
          <t>DHS:</t>
        </r>
        <r>
          <rPr>
            <sz val="8"/>
            <color indexed="81"/>
            <rFont val="Tahoma"/>
            <family val="2"/>
          </rPr>
          <t xml:space="preserve">
USE 7 INSTEAD OF 2 IN ORDER TO TIE TO DAILY WORKSHEET RATE!</t>
        </r>
      </text>
    </comment>
    <comment ref="J25" authorId="1" shapeId="0" xr:uid="{00000000-0006-0000-0200-000005000000}">
      <text>
        <r>
          <rPr>
            <b/>
            <sz val="8"/>
            <color indexed="81"/>
            <rFont val="Tahoma"/>
            <family val="2"/>
          </rPr>
          <t>DSPD:</t>
        </r>
        <r>
          <rPr>
            <sz val="8"/>
            <color indexed="81"/>
            <rFont val="Tahoma"/>
            <family val="2"/>
          </rPr>
          <t xml:space="preserve">
Old worksheet Percentage
.0648 No Cap .13 Cap
Old worksheet Fixed Costs
7.13 and 9.63
Cap is at 170
detail on formula
Under 170 (7.13+9.63)+(.0648*.13)
Over 170 (7.13+9.63)+(170*.13)+(.0648)</t>
        </r>
      </text>
    </comment>
    <comment ref="I29" authorId="1" shapeId="0" xr:uid="{00000000-0006-0000-0200-000006000000}">
      <text>
        <r>
          <rPr>
            <b/>
            <sz val="8"/>
            <color indexed="81"/>
            <rFont val="Tahoma"/>
            <family val="2"/>
          </rPr>
          <t>DSPD:</t>
        </r>
        <r>
          <rPr>
            <sz val="8"/>
            <color indexed="81"/>
            <rFont val="Tahoma"/>
            <family val="2"/>
          </rPr>
          <t xml:space="preserve">
Includes WHX code when entered on the front sheet.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stchandler</author>
  </authors>
  <commentList>
    <comment ref="J16" authorId="0" shapeId="0" xr:uid="{00000000-0006-0000-0400-000001000000}">
      <text>
        <r>
          <rPr>
            <sz val="8"/>
            <color indexed="81"/>
            <rFont val="Tahoma"/>
            <family val="2"/>
          </rPr>
          <t xml:space="preserve">Average number of Direct Support Staff hours expected  per month.
</t>
        </r>
      </text>
    </comment>
    <comment ref="J18" authorId="0" shapeId="0" xr:uid="{00000000-0006-0000-0400-000002000000}">
      <text>
        <r>
          <rPr>
            <sz val="8"/>
            <color indexed="81"/>
            <rFont val="Tahoma"/>
            <family val="2"/>
          </rPr>
          <t xml:space="preserve">Average number of Direct Support Staff hours expected  per day.
</t>
        </r>
      </text>
    </comment>
    <comment ref="J39" authorId="1" shapeId="0" xr:uid="{00000000-0006-0000-0400-000003000000}">
      <text>
        <r>
          <rPr>
            <b/>
            <sz val="8"/>
            <color indexed="81"/>
            <rFont val="Tahoma"/>
            <family val="2"/>
          </rPr>
          <t>DSPD:</t>
        </r>
        <r>
          <rPr>
            <sz val="8"/>
            <color indexed="81"/>
            <rFont val="Tahoma"/>
            <family val="2"/>
          </rPr>
          <t xml:space="preserve">
Includes FY19-20 rate increase of 0.98 percent added to this cell.
</t>
        </r>
      </text>
    </comment>
    <comment ref="J41" authorId="2" shapeId="0" xr:uid="{00000000-0006-0000-0400-000004000000}">
      <text>
        <r>
          <rPr>
            <b/>
            <sz val="9"/>
            <color indexed="81"/>
            <rFont val="Tahoma"/>
            <family val="2"/>
          </rPr>
          <t xml:space="preserve">DSPD: Includes WHX code when entered on front page
</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H6" authorId="0" shapeId="0" xr:uid="{00000000-0006-0000-0300-000001000000}">
      <text>
        <r>
          <rPr>
            <sz val="8"/>
            <color indexed="81"/>
            <rFont val="Tahoma"/>
            <family val="2"/>
          </rPr>
          <t xml:space="preserve">Enter the Annual number of days of Day Supports that are approved.
</t>
        </r>
      </text>
    </comment>
    <comment ref="I15" authorId="1" shapeId="0" xr:uid="{00000000-0006-0000-0300-000002000000}">
      <text>
        <r>
          <rPr>
            <b/>
            <sz val="8"/>
            <color indexed="81"/>
            <rFont val="Tahoma"/>
            <family val="2"/>
          </rPr>
          <t>DSPD:</t>
        </r>
        <r>
          <rPr>
            <sz val="8"/>
            <color indexed="81"/>
            <rFont val="Tahoma"/>
            <family val="2"/>
          </rPr>
          <t xml:space="preserve">
Old worksheet Percentage
.195 +  .14 
Old worksheet Fixed Costs
6.84
detail on formula
 (6.84)+(.195+.14)
</t>
        </r>
      </text>
    </comment>
    <comment ref="I18" authorId="1" shapeId="0" xr:uid="{00000000-0006-0000-0300-000003000000}">
      <text>
        <r>
          <rPr>
            <b/>
            <sz val="8"/>
            <color indexed="81"/>
            <rFont val="Tahoma"/>
            <family val="2"/>
          </rPr>
          <t>DSPD:</t>
        </r>
        <r>
          <rPr>
            <sz val="8"/>
            <color indexed="81"/>
            <rFont val="Tahoma"/>
            <family val="2"/>
          </rPr>
          <t xml:space="preserve">
FY18-19 Rate Increase of 2.1 percent  
added in this cell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12" authorId="0" shapeId="0" xr:uid="{00000000-0006-0000-0500-000001000000}">
      <text>
        <r>
          <rPr>
            <b/>
            <sz val="8"/>
            <color indexed="81"/>
            <rFont val="Tahoma"/>
            <family val="2"/>
          </rPr>
          <t xml:space="preserve"> :</t>
        </r>
        <r>
          <rPr>
            <sz val="8"/>
            <color indexed="81"/>
            <rFont val="Tahoma"/>
            <family val="2"/>
          </rPr>
          <t xml:space="preserve">
I11 through J16 have hidden information that help with calculations.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00000000-0006-0000-0600-000001000000}">
      <text>
        <r>
          <rPr>
            <sz val="9"/>
            <color indexed="81"/>
            <rFont val="Tahoma"/>
            <family val="2"/>
          </rPr>
          <t xml:space="preserve">Enter the Annual number of days of After School  Supports that have been approved  Cannot exceed 240 without approval
</t>
        </r>
      </text>
    </comment>
    <comment ref="K15" authorId="1" shapeId="0" xr:uid="{00000000-0006-0000-0600-000002000000}">
      <text>
        <r>
          <rPr>
            <b/>
            <sz val="9"/>
            <color indexed="81"/>
            <rFont val="Tahoma"/>
            <family val="2"/>
          </rPr>
          <t>DSPD:</t>
        </r>
        <r>
          <rPr>
            <sz val="9"/>
            <color indexed="81"/>
            <rFont val="Tahoma"/>
            <family val="2"/>
          </rPr>
          <t xml:space="preserve">
Old worksheet Percentage
.195 +  .14 
Old worksheet Fixed Costs
6.84
detail on formula
 (6.84)+(.195+.14)
</t>
        </r>
      </text>
    </comment>
    <comment ref="J17" authorId="1" shapeId="0" xr:uid="{00000000-0006-0000-0600-000003000000}">
      <text>
        <r>
          <rPr>
            <b/>
            <sz val="9"/>
            <color indexed="81"/>
            <rFont val="Tahoma"/>
            <family val="2"/>
          </rPr>
          <t>DSPD:</t>
        </r>
        <r>
          <rPr>
            <sz val="9"/>
            <color indexed="81"/>
            <rFont val="Tahoma"/>
            <family val="2"/>
          </rPr>
          <t xml:space="preserve">
FY18-19 RATE INCREASE of 2.1
 percent added in this cell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00000000-0006-0000-0800-000001000000}">
      <text>
        <r>
          <rPr>
            <sz val="8"/>
            <color indexed="81"/>
            <rFont val="Tahoma"/>
            <family val="2"/>
          </rPr>
          <t xml:space="preserve">Enter the Annual number of days of After School Supports  that are approved  MAXIMUM 69 DAYS
</t>
        </r>
      </text>
    </comment>
    <comment ref="K15" authorId="1" shapeId="0" xr:uid="{00000000-0006-0000-0800-000002000000}">
      <text>
        <r>
          <rPr>
            <b/>
            <sz val="8"/>
            <color indexed="81"/>
            <rFont val="Tahoma"/>
            <family val="2"/>
          </rPr>
          <t>DSPD:</t>
        </r>
        <r>
          <rPr>
            <sz val="8"/>
            <color indexed="81"/>
            <rFont val="Tahoma"/>
            <family val="2"/>
          </rPr>
          <t xml:space="preserve">
Old worksheet Percentage
.195 +  .14 
Old worksheet Fixed Costs
6.84
detail on formula
 (6.84)+(.195+.14)
</t>
        </r>
      </text>
    </comment>
    <comment ref="J17" authorId="1" shapeId="0" xr:uid="{00000000-0006-0000-0800-000003000000}">
      <text>
        <r>
          <rPr>
            <b/>
            <sz val="8"/>
            <color indexed="81"/>
            <rFont val="Tahoma"/>
            <family val="2"/>
          </rPr>
          <t>DSPD:</t>
        </r>
        <r>
          <rPr>
            <sz val="8"/>
            <color indexed="81"/>
            <rFont val="Tahoma"/>
            <family val="2"/>
          </rPr>
          <t xml:space="preserve">
FY18-19 rate increase of 2.1
 percent added in this cell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Steven M. Wrigley</author>
    <author>DHS</author>
  </authors>
  <commentList>
    <comment ref="I8" authorId="0" shapeId="0" xr:uid="{00000000-0006-0000-0A00-000001000000}">
      <text>
        <r>
          <rPr>
            <sz val="8"/>
            <color indexed="81"/>
            <rFont val="Tahoma"/>
            <family val="2"/>
          </rPr>
          <t xml:space="preserve">Enter the Annual number of days of Partial Day Supports that are approved. 
</t>
        </r>
      </text>
    </comment>
    <comment ref="F9" authorId="1" shapeId="0" xr:uid="{00000000-0006-0000-0A00-000002000000}">
      <text>
        <r>
          <rPr>
            <sz val="11"/>
            <color indexed="81"/>
            <rFont val="Tahoma"/>
            <family val="2"/>
          </rPr>
          <t xml:space="preserve">Total hours  
 must not exceed 6 hours
</t>
        </r>
      </text>
    </comment>
    <comment ref="I22" authorId="0" shapeId="0" xr:uid="{00000000-0006-0000-0A00-000004000000}">
      <text>
        <r>
          <rPr>
            <sz val="9"/>
            <color indexed="81"/>
            <rFont val="Tahoma"/>
            <family val="2"/>
          </rPr>
          <t xml:space="preserve">Enter the Annual number of days of Partial Day 
Supports that are approved.                 </t>
        </r>
        <r>
          <rPr>
            <sz val="9"/>
            <color indexed="81"/>
            <rFont val="Tahoma"/>
            <family val="2"/>
          </rPr>
          <t xml:space="preserve">
</t>
        </r>
        <r>
          <rPr>
            <sz val="8"/>
            <color indexed="81"/>
            <rFont val="Tahoma"/>
            <family val="2"/>
          </rPr>
          <t xml:space="preserve">
</t>
        </r>
      </text>
    </comment>
    <comment ref="F23" authorId="1" shapeId="0" xr:uid="{00000000-0006-0000-0A00-000005000000}">
      <text>
        <r>
          <rPr>
            <sz val="11"/>
            <color indexed="81"/>
            <rFont val="Tahoma"/>
            <family val="2"/>
          </rPr>
          <t>Total hours must not exceed 10 hours</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Steven M. Wrigley</author>
    <author>DSPD</author>
  </authors>
  <commentList>
    <comment ref="I6" authorId="0" shapeId="0" xr:uid="{5EFB9C34-6764-4779-97E7-EF62C11E3EF5}">
      <text>
        <r>
          <rPr>
            <sz val="9"/>
            <color indexed="81"/>
            <rFont val="Tahoma"/>
            <family val="2"/>
          </rPr>
          <t xml:space="preserve">Enter the Annual number of days of EPR Supports that have been approved.  
</t>
        </r>
      </text>
    </comment>
    <comment ref="K15" authorId="1" shapeId="0" xr:uid="{9D3C1BD9-36C8-4E7B-9818-47F193EB0357}">
      <text>
        <r>
          <rPr>
            <b/>
            <sz val="9"/>
            <color indexed="81"/>
            <rFont val="Tahoma"/>
            <family val="2"/>
          </rPr>
          <t>DSPD:</t>
        </r>
        <r>
          <rPr>
            <sz val="9"/>
            <color indexed="81"/>
            <rFont val="Tahoma"/>
            <family val="2"/>
          </rPr>
          <t xml:space="preserve">
Old worksheet Percentage
.195 +  .14 
Old worksheet Fixed Costs
6.84
detail on formula
 (6.84)+(.195+.14)
</t>
        </r>
      </text>
    </comment>
    <comment ref="J17" authorId="1" shapeId="0" xr:uid="{999F9250-A45B-4057-94EB-45A4029B7019}">
      <text>
        <r>
          <rPr>
            <b/>
            <sz val="9"/>
            <color indexed="81"/>
            <rFont val="Tahoma"/>
            <family val="2"/>
          </rPr>
          <t>DSPD:</t>
        </r>
        <r>
          <rPr>
            <sz val="9"/>
            <color indexed="81"/>
            <rFont val="Tahoma"/>
            <family val="2"/>
          </rPr>
          <t xml:space="preserve">
FY18-19 RATE INCREASE of 2.1
 percent added in this cell
</t>
        </r>
      </text>
    </comment>
  </commentList>
</comments>
</file>

<file path=xl/sharedStrings.xml><?xml version="1.0" encoding="utf-8"?>
<sst xmlns="http://schemas.openxmlformats.org/spreadsheetml/2006/main" count="630" uniqueCount="297">
  <si>
    <t>HRS. /  WEEKEND</t>
  </si>
  <si>
    <t>Direct Support Costs:</t>
  </si>
  <si>
    <t>Total:</t>
  </si>
  <si>
    <t>Unit</t>
  </si>
  <si>
    <t>Staff Ratio</t>
  </si>
  <si>
    <t>Annual Days Allocated:</t>
  </si>
  <si>
    <t>Utah Division of Service for People with Disabilities</t>
  </si>
  <si>
    <t>Community Supports:</t>
  </si>
  <si>
    <t>Home Visit Rate:</t>
  </si>
  <si>
    <t>Hrs. / Day</t>
  </si>
  <si>
    <t>Hrs. / Month</t>
  </si>
  <si>
    <t>Salary / Hr.</t>
  </si>
  <si>
    <t>Total Monthly Rate:</t>
  </si>
  <si>
    <t>Hrs. / Mo.</t>
  </si>
  <si>
    <t>Daily Amt.</t>
  </si>
  <si>
    <t>Monthly Amt.</t>
  </si>
  <si>
    <t>Days / Year</t>
  </si>
  <si>
    <t>Days Absent</t>
  </si>
  <si>
    <t>Identification Number:</t>
  </si>
  <si>
    <t>Personnel Costs: (I need someone)</t>
  </si>
  <si>
    <t>Budget Plan For:</t>
  </si>
  <si>
    <t>Individualized Budget Plan</t>
  </si>
  <si>
    <t>Day Supports Worksheet for:</t>
  </si>
  <si>
    <t>Daily Cost:</t>
  </si>
  <si>
    <t>Annual Cost:</t>
  </si>
  <si>
    <t>Total Monthly Cost:</t>
  </si>
  <si>
    <t>Extended Care:</t>
  </si>
  <si>
    <t>Extended Placement Costs: (Respite for Parents)</t>
  </si>
  <si>
    <t>DAYS / MO.</t>
  </si>
  <si>
    <t>Home Visit Rate - Daily Adjustment:</t>
  </si>
  <si>
    <t>Total Daily Cost:</t>
  </si>
  <si>
    <t>Total Daily Costs :</t>
  </si>
  <si>
    <t xml:space="preserve"> Direct Personnel Avg. Hours / Mo.</t>
  </si>
  <si>
    <t xml:space="preserve">To help me with getting up in the morning, </t>
  </si>
  <si>
    <t xml:space="preserve">dressing  and bathing, getting my breakfast, </t>
  </si>
  <si>
    <t>lunch, dinner, and washing my clothes.</t>
  </si>
  <si>
    <t>At night when I am sleeping (Staff asleep)</t>
  </si>
  <si>
    <t>At night when I am sleeping (Staff awake)</t>
  </si>
  <si>
    <t xml:space="preserve">To help me do things on the weekend when </t>
  </si>
  <si>
    <t>I am not in school or day supports.</t>
  </si>
  <si>
    <t xml:space="preserve"> </t>
  </si>
  <si>
    <t>Rate</t>
  </si>
  <si>
    <t>Supports Worksheet for:</t>
  </si>
  <si>
    <t>Individualized Budget Plan Software 04-19-02.xls</t>
  </si>
  <si>
    <t>N/A</t>
  </si>
  <si>
    <t>Hrs. / Weekend</t>
  </si>
  <si>
    <t>Direct Svc Supervision Costs Per Day</t>
  </si>
  <si>
    <t>Total Direct Support Costs / Day:</t>
  </si>
  <si>
    <t>Admin. (Indirect Management Costs) Daily Rate:</t>
  </si>
  <si>
    <t>Direct Personnel Costs Per  Day / Month:</t>
  </si>
  <si>
    <t>Non-Personnel Operating Costs Per Day</t>
  </si>
  <si>
    <t>Non- Personnel Operating Costs Daily Rate:</t>
  </si>
  <si>
    <t>Supports while I am at a day services</t>
  </si>
  <si>
    <t>Negative Adjustment for PBA Code</t>
  </si>
  <si>
    <t>If DCFS Child enter WHX Code Amount:</t>
  </si>
  <si>
    <t>Other Supports</t>
  </si>
  <si>
    <t>Assure Health and Safety of the individual</t>
  </si>
  <si>
    <t>Includes parents pay, respite and other needed supports</t>
  </si>
  <si>
    <t>Leap Year State will allow one more day then Annual Days Allocated</t>
  </si>
  <si>
    <t>Direct Supervision, Admin &amp; Non Personnel Costs</t>
  </si>
  <si>
    <t>Direct Personnel Hours &amp; Costs Per  Day / Month:</t>
  </si>
  <si>
    <t>HRS. / Day</t>
  </si>
  <si>
    <t>Direct Personnel Hours Per Month:</t>
  </si>
  <si>
    <t>Direct Personnel Costs Per Day / Month:</t>
  </si>
  <si>
    <t xml:space="preserve"> Direct Personnel Avg. Hours / Day</t>
  </si>
  <si>
    <t>Units</t>
  </si>
  <si>
    <t>Annual Units</t>
  </si>
  <si>
    <t>Supported Employment and Day Service Worksheet</t>
  </si>
  <si>
    <t>SEI, SEE and DSI RATE MATRIX</t>
  </si>
  <si>
    <t>Hours Per Day</t>
  </si>
  <si>
    <t>Hours Per Year</t>
  </si>
  <si>
    <t>Units Per Day</t>
  </si>
  <si>
    <t>Units Per Year</t>
  </si>
  <si>
    <t>Unit Rate</t>
  </si>
  <si>
    <t>Daily Rate</t>
  </si>
  <si>
    <t>Annual Limit</t>
  </si>
  <si>
    <t>A Units Only</t>
  </si>
  <si>
    <t xml:space="preserve">to be hidden </t>
  </si>
  <si>
    <t>Calculated Limit</t>
  </si>
  <si>
    <t>to be hidden</t>
  </si>
  <si>
    <t>Calculated Daily Rate</t>
  </si>
  <si>
    <t>Calculated Unit Rate</t>
  </si>
  <si>
    <t>Professional Parent / Host Home Worksheet: Community Supports</t>
  </si>
  <si>
    <t>Day Supports Worksheet: Community Supports</t>
  </si>
  <si>
    <t>Residential Habilitation Worksheet: Community Supports</t>
  </si>
  <si>
    <t>After School Worksheet For:</t>
  </si>
  <si>
    <t>Supports while I am at an after school program</t>
  </si>
  <si>
    <t>Average Quarter Unit Rate:</t>
  </si>
  <si>
    <t>Average Daily Quarter Units:</t>
  </si>
  <si>
    <t>Average Total Daily Costs :</t>
  </si>
  <si>
    <t>Average Monthly Units:</t>
  </si>
  <si>
    <t>Average Total Monthly Cost:</t>
  </si>
  <si>
    <t>Average Annual Units:</t>
  </si>
  <si>
    <t xml:space="preserve">  Average Daily Hours  :</t>
  </si>
  <si>
    <t>Average</t>
  </si>
  <si>
    <t>Daily Hours</t>
  </si>
  <si>
    <t>Annual</t>
  </si>
  <si>
    <t>MAX RATE</t>
  </si>
  <si>
    <t>(Rate Individually Negotiated with Professional Parent/Host Home Provider based upon available funds)</t>
  </si>
  <si>
    <t xml:space="preserve">       6 Hour Maximum  DSP Worksheet</t>
  </si>
  <si>
    <t>Total</t>
  </si>
  <si>
    <t>Must not exceed 6 hours</t>
  </si>
  <si>
    <t>Must not exceed 10 hours</t>
  </si>
  <si>
    <t>Supp Coord  ID:</t>
  </si>
  <si>
    <t>Effective Date:</t>
  </si>
  <si>
    <t>Supp Coord ID:</t>
  </si>
  <si>
    <t>Budget Plan</t>
  </si>
  <si>
    <t xml:space="preserve">Absentee rate:   </t>
  </si>
  <si>
    <t>Staff Ratios</t>
  </si>
  <si>
    <t>TAB</t>
  </si>
  <si>
    <t xml:space="preserve">RHS  </t>
  </si>
  <si>
    <t>DSG</t>
  </si>
  <si>
    <t>Annual Days Allocated</t>
  </si>
  <si>
    <t>PPS/HHS</t>
  </si>
  <si>
    <t>Direct Support Costs</t>
  </si>
  <si>
    <t>Other Supports:</t>
  </si>
  <si>
    <t>This is the total amount of parental stipend, respite, other advisor hours, etc.</t>
  </si>
  <si>
    <t>6 hour maximum:</t>
  </si>
  <si>
    <t>10 hour maximum</t>
  </si>
  <si>
    <t>This is the worksheet used to develop a quarter hour rate for these services</t>
  </si>
  <si>
    <t>These will automatically populate when you complete the worksheets</t>
  </si>
  <si>
    <t>WHX Code:</t>
  </si>
  <si>
    <t>USTEPS</t>
  </si>
  <si>
    <t>rate</t>
  </si>
  <si>
    <t>plan units</t>
  </si>
  <si>
    <t>daily hours</t>
  </si>
  <si>
    <t>unit rate</t>
  </si>
  <si>
    <t>Front Sheet</t>
  </si>
  <si>
    <t>=</t>
  </si>
  <si>
    <t>annual units</t>
  </si>
  <si>
    <t xml:space="preserve"> avg daily hours</t>
  </si>
  <si>
    <t>Enter information into cells this color</t>
  </si>
  <si>
    <t>Hrs./Day</t>
  </si>
  <si>
    <t>Hrs./Month</t>
  </si>
  <si>
    <t xml:space="preserve">Budget Plan For:      </t>
  </si>
  <si>
    <t xml:space="preserve">Identification Number:   </t>
  </si>
  <si>
    <t xml:space="preserve">Effective Date:     </t>
  </si>
  <si>
    <t>The date this worksheet is effective</t>
  </si>
  <si>
    <t>This information automatically transfers to the worksheets</t>
  </si>
  <si>
    <t>Enter Hrs./Day and Staff Ratios</t>
  </si>
  <si>
    <t>CELL</t>
  </si>
  <si>
    <t>Enter staff ratio for the preceding # of hours</t>
  </si>
  <si>
    <t>Hrs./Weekend</t>
  </si>
  <si>
    <t>This is the worksheet used to develop a daily  rate for residential</t>
  </si>
  <si>
    <t>Click on the red triangle in top right corner of the cell and enter amount that corresponds to</t>
  </si>
  <si>
    <t>This is sometimes referred to as the Front Sheet   This is where you enter all the identifying information</t>
  </si>
  <si>
    <t>Make sure USTEPS and these values match up</t>
  </si>
  <si>
    <t xml:space="preserve">These are the values you enter into USTEPS </t>
  </si>
  <si>
    <t xml:space="preserve">This is the worksheet used to develop a daily rate for Professional Parent/Host Home   </t>
  </si>
  <si>
    <t>Instructions for completing worksheets</t>
  </si>
  <si>
    <t>Enter number of annual days approved  not to exceed 240 days without approval</t>
  </si>
  <si>
    <t>Hrs/Day</t>
  </si>
  <si>
    <t>To figure a quarter hour rate with various ratios, use this worksheet</t>
  </si>
  <si>
    <t xml:space="preserve">  SEE  SEI  DSI</t>
  </si>
  <si>
    <t>6 hour day worksheet</t>
  </si>
  <si>
    <t>10 hour day worksheet</t>
  </si>
  <si>
    <t xml:space="preserve">After completing the worksheets, please save as Last Name, First Name, effective date of worksheet.   </t>
  </si>
  <si>
    <t>Print and attach a copy to the 1056 and give to provider</t>
  </si>
  <si>
    <t>Total Daily Costs</t>
  </si>
  <si>
    <t>Daily Costs</t>
  </si>
  <si>
    <t>Indirect Support Max not to exceed $31.92 / day</t>
  </si>
  <si>
    <t>Employment Preparation Service</t>
  </si>
  <si>
    <t>DSP, EPR Qtr Hr</t>
  </si>
  <si>
    <t xml:space="preserve">       6 Hour Maximum  EPR Worksheet</t>
  </si>
  <si>
    <t>MAR</t>
  </si>
  <si>
    <t>Date</t>
  </si>
  <si>
    <t>Rate Increase</t>
  </si>
  <si>
    <t>In worksheet</t>
  </si>
  <si>
    <t>Rate Increase added to daily cost cell</t>
  </si>
  <si>
    <t>Rate Increase added to Average Quarter Unit Rate cell</t>
  </si>
  <si>
    <t>For select codes including everyone on this page</t>
  </si>
  <si>
    <t>For SCE/not in worksheet</t>
  </si>
  <si>
    <t xml:space="preserve">For FMS, SSM </t>
  </si>
  <si>
    <t>must provide to be determined by the team.</t>
  </si>
  <si>
    <t>Recommended hours of support provider staff</t>
  </si>
  <si>
    <t>Direct Support Personnel Costs</t>
  </si>
  <si>
    <t>Direct Service Supervision Costs Daily Rate</t>
  </si>
  <si>
    <t>Indirect Support Costs</t>
  </si>
  <si>
    <t>Direct Support Cost</t>
  </si>
  <si>
    <t>Direct Support Personnel Costs: (I need someone)</t>
  </si>
  <si>
    <t>Direct Support Personnel Costs:</t>
  </si>
  <si>
    <t>Day Supports Worksheet- Community Supports Partial</t>
  </si>
  <si>
    <t>Day Supports Worksheet-Community Supports Partial</t>
  </si>
  <si>
    <t>Quarter Hour Worksheets</t>
  </si>
  <si>
    <t>Employment Preparation Supports</t>
  </si>
  <si>
    <t>This color cell on Front Sheet, has values to transfer to USTEPS or shows results</t>
  </si>
  <si>
    <t>Name of Client</t>
  </si>
  <si>
    <t>The consumers PID number</t>
  </si>
  <si>
    <t>A10-A21</t>
  </si>
  <si>
    <t>birth date of the DCFS consumer. This changes the daily rate on the PPS/HHS or RHS worksheet.</t>
  </si>
  <si>
    <t>Work with the residential provider to determine if an absentee rate is needed.</t>
  </si>
  <si>
    <t>If needed, please enter the # of absent days per year in cell I8</t>
  </si>
  <si>
    <t>I8</t>
  </si>
  <si>
    <t>This should only be adjusted at beginning of plan year, not mid year.</t>
  </si>
  <si>
    <t>E11-E15</t>
  </si>
  <si>
    <t>Whole #s or quarter hour decimals can only be used.</t>
  </si>
  <si>
    <t xml:space="preserve">This is rarely used. </t>
  </si>
  <si>
    <t>F11-F15</t>
  </si>
  <si>
    <t>E18-E19</t>
  </si>
  <si>
    <t>This includes: RHS+DSG, RHS+SED, RHS+SEI/DSI, RHS+DSP, RHS+EPR</t>
  </si>
  <si>
    <t>ELS must also be included in total hours</t>
  </si>
  <si>
    <t>Please enter the annual number of days of day supports approved.</t>
  </si>
  <si>
    <t>Hours are usually entered as Hrs/Month. PPS/HHS has minimum 12 monthly hours.</t>
  </si>
  <si>
    <t>These are hours for direct care staff coming into the home.</t>
  </si>
  <si>
    <t>Generally 1:1 but if second consumer is in the home, it can be 1:2.</t>
  </si>
  <si>
    <t>Please confer with provider to determine this amount.</t>
  </si>
  <si>
    <t>Enter the # of quarter hour units approved to provide annually.</t>
  </si>
  <si>
    <t>This is the only thing you need to enter on this page.</t>
  </si>
  <si>
    <t xml:space="preserve">  DSP/ EPR 6 hr Daily</t>
  </si>
  <si>
    <t xml:space="preserve">  DSP/EPR 10 hr Daily</t>
  </si>
  <si>
    <t>DSP/EPR can be opened as a quarter hour service with a 1:1 staff ratio</t>
  </si>
  <si>
    <t>Enter number of annual days approved</t>
  </si>
  <si>
    <t>F11-F14, H11-H14</t>
  </si>
  <si>
    <t>I24</t>
  </si>
  <si>
    <t>F26-F29, H26-H29</t>
  </si>
  <si>
    <t>Reminder: The total daily residential and day program/supported employment hours should not exceed  24 hours.</t>
  </si>
  <si>
    <t xml:space="preserve">Enter number of annual days approved   </t>
  </si>
  <si>
    <t>For limited support waiver</t>
  </si>
  <si>
    <t>The absentee rate cannot exceed 30 days per year without RFS approval.</t>
  </si>
  <si>
    <t>Reminder: HHS/PPS is paid as a daily rate. HHS/PPS can include up to 24-hour direct care staff support. Generally, however, HHS is provided for up to 24-hours on holidays and weekends and for 18-hours per day on days when the person is in school, at work or receiving other daytime supports. Similar to the RHS worksheet If the individual's rate is built on a 18 hour per day rate, 16 days of ELS support for 6 hours each day will be considered to be included in the rate. Requests for additional ELS support will need to account for the built in days before additional time will be approved.</t>
  </si>
  <si>
    <t>Built in ELS days</t>
  </si>
  <si>
    <t>Employment Preparation Services</t>
  </si>
  <si>
    <t>WHX</t>
  </si>
  <si>
    <t>Admin Costs Per Direct Personnel Day</t>
  </si>
  <si>
    <t>UTA Codes</t>
  </si>
  <si>
    <t xml:space="preserve">PM2 amount increased </t>
  </si>
  <si>
    <t>APC</t>
  </si>
  <si>
    <t>APD</t>
  </si>
  <si>
    <t>APQ</t>
  </si>
  <si>
    <t>DNS</t>
  </si>
  <si>
    <t>$300.00-$500.00</t>
  </si>
  <si>
    <t>E22</t>
  </si>
  <si>
    <t>Individuals receiving RHS services do not need to be staffed 24 hours a day.</t>
  </si>
  <si>
    <t>If the worksheet covers 24 hours there should not be any ELS hours.</t>
  </si>
  <si>
    <t>A4</t>
  </si>
  <si>
    <t>C4</t>
  </si>
  <si>
    <t>H4</t>
  </si>
  <si>
    <t>F4</t>
  </si>
  <si>
    <t>The support coordinator name or ID</t>
  </si>
  <si>
    <t>B6</t>
  </si>
  <si>
    <t>B10-B21</t>
  </si>
  <si>
    <t>C10-C21</t>
  </si>
  <si>
    <t>D10-D21</t>
  </si>
  <si>
    <t>G11-G22</t>
  </si>
  <si>
    <t>H6</t>
  </si>
  <si>
    <t>This should generally not to exceed 6 hours/day.</t>
  </si>
  <si>
    <t>E8-E11</t>
  </si>
  <si>
    <t>G8-G11</t>
  </si>
  <si>
    <t>L12</t>
  </si>
  <si>
    <t>I6</t>
  </si>
  <si>
    <t>F8-F11,  G8-G11</t>
  </si>
  <si>
    <t>F8-F11,  H8-H11</t>
  </si>
  <si>
    <t>This is the worksheet used to figure a quarter hour rate for a partial day program</t>
  </si>
  <si>
    <t xml:space="preserve">This is the worksheet used to develop a daily rate for a site/non site based day program that averages 6 hrs a day. </t>
  </si>
  <si>
    <t xml:space="preserve">Less than 6 hours a day </t>
  </si>
  <si>
    <t>Greater than 6 hours a day but less than 10 hours a day</t>
  </si>
  <si>
    <t>Upload original pdf version of worksheet into USTEPS</t>
  </si>
  <si>
    <t>Supports while I am at a employment preparation services</t>
  </si>
  <si>
    <t>E8-E9,  F8-F9</t>
  </si>
  <si>
    <t>G8-G9</t>
  </si>
  <si>
    <t>E25</t>
  </si>
  <si>
    <t>H8-H11</t>
  </si>
  <si>
    <t>Enter Hrs./Day, Hrs/Month is rarely used</t>
  </si>
  <si>
    <t>I9</t>
  </si>
  <si>
    <t>This cannot exceed 24 hours.  If client is in 6 hour day program or school, this cannot exceed 18</t>
  </si>
  <si>
    <t>program. Generally it is 12 hours total.</t>
  </si>
  <si>
    <t>hours. Whole numbers or quarter hour decimals can only be used.</t>
  </si>
  <si>
    <t xml:space="preserve">These are hours added to residential supports on weekend to cover time not in school or day </t>
  </si>
  <si>
    <t>than 6 hr daily rate</t>
  </si>
  <si>
    <t xml:space="preserve">This is the worksheet used to develop a daily rate for a partial day support or employment preparation program for a less </t>
  </si>
  <si>
    <t>than 6 but less than 10 hr daily rate</t>
  </si>
  <si>
    <t xml:space="preserve">This is the worksheet used to develop a daily rate for a partial day support or employment preparation program for a greater </t>
  </si>
  <si>
    <t>Mo. Amt.</t>
  </si>
  <si>
    <t>FY2026</t>
  </si>
  <si>
    <t>Revised 7/1/2025</t>
  </si>
  <si>
    <t xml:space="preserve">Breakdown of costs included in other supports for informational purposes: </t>
  </si>
  <si>
    <t>This is a set # of days built into the RHS rate, generally 16 days.</t>
  </si>
  <si>
    <t>These hours should equal the amount of hours that RHS staff is covering for other services the individual does not attend like day supports or school.</t>
  </si>
  <si>
    <t>If there are hours that are not staffed during the weekday those hours should not be accounted for in the ELS line.</t>
  </si>
  <si>
    <t xml:space="preserve">The minimum days that have to be included are 6 days to cover major holidays. </t>
  </si>
  <si>
    <t xml:space="preserve">Days and hours should be adjusted at the beginning of a plan cycle to reflect a best estimated based on the needs and preferences of the person. RFS </t>
  </si>
  <si>
    <t>must review the worksheet if it is less than 16 days.</t>
  </si>
  <si>
    <r>
      <t xml:space="preserve">Site &amp; Nonsite-Based Day Supports </t>
    </r>
    <r>
      <rPr>
        <b/>
        <sz val="11"/>
        <color theme="1"/>
        <rFont val="Open Sans"/>
      </rPr>
      <t>DSG</t>
    </r>
  </si>
  <si>
    <r>
      <t xml:space="preserve">Supported Employment </t>
    </r>
    <r>
      <rPr>
        <b/>
        <sz val="11"/>
        <color theme="1"/>
        <rFont val="Open Sans"/>
      </rPr>
      <t>SEE, SEI, DSI</t>
    </r>
  </si>
  <si>
    <r>
      <t>Residential Habilitation</t>
    </r>
    <r>
      <rPr>
        <sz val="11"/>
        <color rgb="FF009999"/>
        <rFont val="Open Sans"/>
      </rPr>
      <t xml:space="preserve"> </t>
    </r>
    <r>
      <rPr>
        <b/>
        <sz val="11"/>
        <color theme="1"/>
        <rFont val="Open Sans"/>
      </rPr>
      <t>RHS</t>
    </r>
  </si>
  <si>
    <r>
      <t>Professional Parent/Host Home Supports</t>
    </r>
    <r>
      <rPr>
        <sz val="11"/>
        <color rgb="FF009999"/>
        <rFont val="Open Sans"/>
      </rPr>
      <t xml:space="preserve"> </t>
    </r>
    <r>
      <rPr>
        <b/>
        <sz val="11"/>
        <color theme="1"/>
        <rFont val="Open Sans"/>
      </rPr>
      <t>PPS, HHS</t>
    </r>
  </si>
  <si>
    <r>
      <t>Day Support Partial</t>
    </r>
    <r>
      <rPr>
        <sz val="11"/>
        <color rgb="FF009999"/>
        <rFont val="Open Sans"/>
      </rPr>
      <t xml:space="preserve"> </t>
    </r>
    <r>
      <rPr>
        <b/>
        <sz val="11"/>
        <color theme="1"/>
        <rFont val="Open Sans"/>
      </rPr>
      <t>DSP 6 hour</t>
    </r>
  </si>
  <si>
    <r>
      <t xml:space="preserve">Day Supports Partial </t>
    </r>
    <r>
      <rPr>
        <b/>
        <sz val="11"/>
        <color theme="1"/>
        <rFont val="Open Sans"/>
      </rPr>
      <t>DSP 10 hour</t>
    </r>
  </si>
  <si>
    <r>
      <t xml:space="preserve">Employment Preparation Service </t>
    </r>
    <r>
      <rPr>
        <b/>
        <sz val="11"/>
        <color theme="1"/>
        <rFont val="Open Sans"/>
      </rPr>
      <t>EPR 6 hour</t>
    </r>
  </si>
  <si>
    <r>
      <t>Employment Preparation Service</t>
    </r>
    <r>
      <rPr>
        <sz val="11"/>
        <color rgb="FFFF0000"/>
        <rFont val="Open Sans"/>
      </rPr>
      <t xml:space="preserve"> </t>
    </r>
    <r>
      <rPr>
        <b/>
        <sz val="11"/>
        <color theme="1"/>
        <rFont val="Open Sans"/>
      </rPr>
      <t>EPR 10 hour</t>
    </r>
  </si>
  <si>
    <r>
      <t xml:space="preserve">Employment Preparation Service </t>
    </r>
    <r>
      <rPr>
        <b/>
        <sz val="11"/>
        <color theme="1"/>
        <rFont val="Open Sans"/>
      </rPr>
      <t>EPR Qtr hr- 6 hr max</t>
    </r>
  </si>
  <si>
    <r>
      <t xml:space="preserve">Employment Preparation Service </t>
    </r>
    <r>
      <rPr>
        <b/>
        <sz val="11"/>
        <color theme="1"/>
        <rFont val="Open Sans"/>
      </rPr>
      <t>EPR Qtr hr- 10 hr max</t>
    </r>
  </si>
  <si>
    <r>
      <t xml:space="preserve">Day Support Partial </t>
    </r>
    <r>
      <rPr>
        <b/>
        <sz val="11"/>
        <rFont val="Open Sans"/>
      </rPr>
      <t>DSP Qtr hr- 6 hr max</t>
    </r>
  </si>
  <si>
    <r>
      <t xml:space="preserve">Day Support Partial </t>
    </r>
    <r>
      <rPr>
        <b/>
        <sz val="11"/>
        <rFont val="Open Sans"/>
      </rPr>
      <t>DSP Qtr hr- 10 hr max</t>
    </r>
  </si>
  <si>
    <r>
      <rPr>
        <b/>
        <sz val="10"/>
        <rFont val="Open Sans"/>
      </rPr>
      <t xml:space="preserve">Average Total Daily Costs </t>
    </r>
    <r>
      <rPr>
        <b/>
        <sz val="10"/>
        <color theme="1" tint="0.34998626667073579"/>
        <rFont val="Open Sans"/>
      </rPr>
      <t>:</t>
    </r>
  </si>
  <si>
    <t xml:space="preserve">   Greater than 6 Hours but less than 10 Hours  DSP Worksheet</t>
  </si>
  <si>
    <t xml:space="preserve"> Greater than 6 Hours but less than  10 Hour Hour EPR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</si>
</sst>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General_)"/>
    <numFmt numFmtId="165" formatCode="0.0%"/>
    <numFmt numFmtId="166" formatCode="dd\-mmm\-yy_)"/>
    <numFmt numFmtId="167" formatCode="0.0"/>
    <numFmt numFmtId="168" formatCode="&quot;$&quot;#,##0.00"/>
    <numFmt numFmtId="169" formatCode="_ &quot;R&quot;\ * #,##0.00_ ;_ &quot;R&quot;\ * \-#,##0.00_ ;_ &quot;R&quot;\ * &quot;-&quot;??_ ;_ @_ "/>
    <numFmt numFmtId="170" formatCode="000000000"/>
    <numFmt numFmtId="171" formatCode="#,##0.0_);\(#,##0.0\)"/>
    <numFmt numFmtId="172" formatCode=";;;"/>
    <numFmt numFmtId="173" formatCode="#,##0.0"/>
    <numFmt numFmtId="174" formatCode="_(* #,##0_);_(* \(#,##0\);_(* &quot;-&quot;??_);_(@_)"/>
  </numFmts>
  <fonts count="49" x14ac:knownFonts="1">
    <font>
      <sz val="6"/>
      <name val="TIMES"/>
    </font>
    <font>
      <sz val="10"/>
      <name val="Arial"/>
      <family val="2"/>
    </font>
    <font>
      <sz val="8"/>
      <name val="TIMES"/>
    </font>
    <font>
      <sz val="8"/>
      <name val="Arial"/>
      <family val="2"/>
    </font>
    <font>
      <sz val="8"/>
      <name val="Arial"/>
      <family val="2"/>
    </font>
    <font>
      <b/>
      <sz val="12"/>
      <name val="Arial"/>
      <family val="2"/>
    </font>
    <font>
      <sz val="8"/>
      <color indexed="81"/>
      <name val="Tahoma"/>
      <family val="2"/>
    </font>
    <font>
      <b/>
      <sz val="8"/>
      <color indexed="81"/>
      <name val="Tahoma"/>
      <family val="2"/>
    </font>
    <font>
      <sz val="9"/>
      <color indexed="81"/>
      <name val="Tahoma"/>
      <family val="2"/>
    </font>
    <font>
      <sz val="10"/>
      <color indexed="81"/>
      <name val="Tahoma"/>
      <family val="2"/>
    </font>
    <font>
      <sz val="11"/>
      <color indexed="81"/>
      <name val="Tahoma"/>
      <family val="2"/>
    </font>
    <font>
      <b/>
      <sz val="9"/>
      <color indexed="81"/>
      <name val="Tahoma"/>
      <family val="2"/>
    </font>
    <font>
      <sz val="6"/>
      <name val="TIMES"/>
    </font>
    <font>
      <sz val="8"/>
      <name val="Open Sans"/>
    </font>
    <font>
      <b/>
      <sz val="8"/>
      <name val="Open Sans"/>
    </font>
    <font>
      <b/>
      <sz val="10"/>
      <name val="Open Sans"/>
    </font>
    <font>
      <sz val="6"/>
      <name val="Open Sans"/>
    </font>
    <font>
      <sz val="11"/>
      <name val="Open Sans"/>
    </font>
    <font>
      <b/>
      <sz val="9"/>
      <name val="Open Sans"/>
    </font>
    <font>
      <sz val="9"/>
      <name val="Open Sans"/>
    </font>
    <font>
      <sz val="10"/>
      <name val="Open Sans"/>
    </font>
    <font>
      <b/>
      <sz val="6"/>
      <name val="Open Sans"/>
    </font>
    <font>
      <b/>
      <sz val="10"/>
      <color indexed="10"/>
      <name val="Open Sans"/>
    </font>
    <font>
      <b/>
      <u/>
      <sz val="10"/>
      <name val="Open Sans"/>
    </font>
    <font>
      <b/>
      <sz val="11"/>
      <name val="Open Sans"/>
    </font>
    <font>
      <b/>
      <sz val="11"/>
      <color indexed="62"/>
      <name val="Open Sans"/>
    </font>
    <font>
      <sz val="11"/>
      <color indexed="10"/>
      <name val="Open Sans"/>
    </font>
    <font>
      <sz val="11"/>
      <color rgb="FFFF0000"/>
      <name val="Open Sans"/>
    </font>
    <font>
      <sz val="10"/>
      <color indexed="10"/>
      <name val="Open Sans"/>
    </font>
    <font>
      <b/>
      <sz val="20"/>
      <color theme="0"/>
      <name val="Open Sans"/>
    </font>
    <font>
      <b/>
      <sz val="11"/>
      <color theme="0"/>
      <name val="Open Sans"/>
    </font>
    <font>
      <b/>
      <sz val="14"/>
      <color theme="0"/>
      <name val="Open Sans"/>
    </font>
    <font>
      <b/>
      <sz val="10"/>
      <color theme="0"/>
      <name val="Open Sans"/>
    </font>
    <font>
      <sz val="14"/>
      <color theme="0"/>
      <name val="Open Sans"/>
    </font>
    <font>
      <sz val="10"/>
      <color theme="0"/>
      <name val="Open Sans"/>
    </font>
    <font>
      <b/>
      <sz val="10"/>
      <color theme="1"/>
      <name val="Open Sans"/>
    </font>
    <font>
      <sz val="10"/>
      <color theme="1"/>
      <name val="Open Sans"/>
    </font>
    <font>
      <b/>
      <sz val="6"/>
      <color theme="0"/>
      <name val="Open Sans"/>
    </font>
    <font>
      <sz val="7"/>
      <name val="Open Sans"/>
    </font>
    <font>
      <sz val="11"/>
      <color rgb="FF009999"/>
      <name val="Open Sans"/>
    </font>
    <font>
      <b/>
      <sz val="11"/>
      <color rgb="FF009999"/>
      <name val="Open Sans"/>
    </font>
    <font>
      <sz val="12"/>
      <name val="Open Sans"/>
    </font>
    <font>
      <b/>
      <sz val="8"/>
      <color indexed="81"/>
      <name val="Open Sans"/>
    </font>
    <font>
      <sz val="8"/>
      <color indexed="81"/>
      <name val="Open Sans"/>
    </font>
    <font>
      <sz val="7.5"/>
      <name val="Open Sans"/>
    </font>
    <font>
      <b/>
      <sz val="11"/>
      <color theme="1"/>
      <name val="Open Sans"/>
    </font>
    <font>
      <b/>
      <sz val="11"/>
      <color rgb="FF005A5B"/>
      <name val="Open Sans"/>
    </font>
    <font>
      <sz val="10"/>
      <color rgb="FFA20000"/>
      <name val="Open Sans"/>
    </font>
    <font>
      <b/>
      <sz val="10"/>
      <color theme="1" tint="0.34998626667073579"/>
      <name val="Open Sans"/>
    </font>
  </fonts>
  <fills count="2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8"/>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rgb="FFCCFFCC"/>
        <bgColor indexed="64"/>
      </patternFill>
    </fill>
    <fill>
      <patternFill patternType="solid">
        <fgColor rgb="FF92D050"/>
        <bgColor indexed="64"/>
      </patternFill>
    </fill>
    <fill>
      <patternFill patternType="solid">
        <fgColor theme="3" tint="0.79998168889431442"/>
        <bgColor indexed="64"/>
      </patternFill>
    </fill>
    <fill>
      <patternFill patternType="solid">
        <fgColor theme="0"/>
        <bgColor indexed="64"/>
      </patternFill>
    </fill>
    <fill>
      <patternFill patternType="solid">
        <fgColor rgb="FF0A0C4A"/>
        <bgColor indexed="64"/>
      </patternFill>
    </fill>
    <fill>
      <patternFill patternType="solid">
        <fgColor rgb="FFA0E6F2"/>
        <bgColor indexed="64"/>
      </patternFill>
    </fill>
    <fill>
      <patternFill patternType="solid">
        <fgColor rgb="FFC0C0C0"/>
        <bgColor indexed="64"/>
      </patternFill>
    </fill>
    <fill>
      <patternFill patternType="solid">
        <fgColor rgb="FFFFEEBD"/>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8"/>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8"/>
      </left>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8"/>
      </top>
      <bottom style="thin">
        <color indexed="64"/>
      </bottom>
      <diagonal/>
    </border>
    <border>
      <left style="medium">
        <color indexed="64"/>
      </left>
      <right style="medium">
        <color indexed="64"/>
      </right>
      <top style="thin">
        <color indexed="8"/>
      </top>
      <bottom style="medium">
        <color indexed="64"/>
      </bottom>
      <diagonal/>
    </border>
    <border>
      <left style="thin">
        <color indexed="8"/>
      </left>
      <right/>
      <top style="thin">
        <color indexed="8"/>
      </top>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style="double">
        <color indexed="64"/>
      </top>
      <bottom/>
      <diagonal/>
    </border>
    <border>
      <left style="thin">
        <color indexed="8"/>
      </left>
      <right style="thin">
        <color indexed="64"/>
      </right>
      <top style="thin">
        <color indexed="8"/>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38" fontId="4" fillId="2" borderId="0" applyNumberFormat="0" applyBorder="0" applyAlignment="0" applyProtection="0"/>
    <xf numFmtId="38" fontId="3"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0" fontId="3" fillId="3" borderId="3" applyNumberFormat="0" applyBorder="0" applyAlignment="0" applyProtection="0"/>
    <xf numFmtId="169" fontId="1" fillId="0" borderId="0"/>
    <xf numFmtId="10" fontId="1" fillId="0" borderId="0" applyFont="0" applyFill="0" applyBorder="0" applyAlignment="0" applyProtection="0"/>
    <xf numFmtId="9" fontId="12" fillId="0" borderId="0" applyFont="0" applyFill="0" applyBorder="0" applyAlignment="0" applyProtection="0"/>
  </cellStyleXfs>
  <cellXfs count="369">
    <xf numFmtId="164" fontId="0" fillId="0" borderId="0" xfId="0"/>
    <xf numFmtId="164" fontId="13" fillId="0" borderId="0" xfId="0" applyFont="1" applyAlignment="1">
      <alignment horizontal="left"/>
    </xf>
    <xf numFmtId="164" fontId="13" fillId="0" borderId="0" xfId="0" applyFont="1"/>
    <xf numFmtId="164" fontId="13" fillId="0" borderId="0" xfId="0" applyFont="1" applyAlignment="1" applyProtection="1">
      <alignment horizontal="left"/>
      <protection hidden="1"/>
    </xf>
    <xf numFmtId="164" fontId="13" fillId="0" borderId="0" xfId="0" applyFont="1" applyProtection="1">
      <protection hidden="1"/>
    </xf>
    <xf numFmtId="164" fontId="15" fillId="0" borderId="0" xfId="0" applyFont="1" applyAlignment="1" applyProtection="1">
      <alignment horizontal="center"/>
      <protection hidden="1"/>
    </xf>
    <xf numFmtId="164" fontId="14" fillId="0" borderId="0" xfId="0" applyFont="1" applyProtection="1">
      <protection hidden="1"/>
    </xf>
    <xf numFmtId="164" fontId="15" fillId="0" borderId="0" xfId="0" applyFont="1" applyProtection="1">
      <protection hidden="1"/>
    </xf>
    <xf numFmtId="164" fontId="19" fillId="0" borderId="0" xfId="0" applyFont="1"/>
    <xf numFmtId="7" fontId="13" fillId="0" borderId="0" xfId="0" applyNumberFormat="1" applyFont="1" applyProtection="1">
      <protection hidden="1"/>
    </xf>
    <xf numFmtId="174" fontId="13" fillId="0" borderId="0" xfId="1" applyNumberFormat="1" applyFont="1" applyFill="1" applyBorder="1" applyProtection="1">
      <protection hidden="1"/>
    </xf>
    <xf numFmtId="164" fontId="13" fillId="0" borderId="0" xfId="0" quotePrefix="1" applyFont="1" applyAlignment="1" applyProtection="1">
      <alignment horizontal="left"/>
      <protection hidden="1"/>
    </xf>
    <xf numFmtId="164" fontId="16" fillId="0" borderId="0" xfId="0" applyFont="1" applyProtection="1">
      <protection hidden="1"/>
    </xf>
    <xf numFmtId="164" fontId="15" fillId="0" borderId="0" xfId="0" applyFont="1" applyAlignment="1" applyProtection="1">
      <alignment horizontal="left"/>
      <protection hidden="1"/>
    </xf>
    <xf numFmtId="164" fontId="15" fillId="0" borderId="6" xfId="0" applyFont="1" applyBorder="1" applyAlignment="1" applyProtection="1">
      <alignment horizontal="left"/>
      <protection hidden="1"/>
    </xf>
    <xf numFmtId="164" fontId="23" fillId="0" borderId="6" xfId="0" applyFont="1" applyBorder="1" applyProtection="1">
      <protection hidden="1"/>
    </xf>
    <xf numFmtId="170" fontId="15" fillId="0" borderId="6" xfId="0" applyNumberFormat="1" applyFont="1" applyBorder="1" applyAlignment="1" applyProtection="1">
      <alignment horizontal="center"/>
      <protection hidden="1"/>
    </xf>
    <xf numFmtId="164" fontId="15" fillId="0" borderId="6" xfId="0" applyFont="1" applyBorder="1" applyAlignment="1" applyProtection="1">
      <alignment horizontal="center"/>
      <protection hidden="1"/>
    </xf>
    <xf numFmtId="14" fontId="15" fillId="0" borderId="6" xfId="0" applyNumberFormat="1" applyFont="1" applyBorder="1" applyAlignment="1" applyProtection="1">
      <alignment horizontal="center"/>
      <protection hidden="1"/>
    </xf>
    <xf numFmtId="164" fontId="20" fillId="0" borderId="0" xfId="0" applyFont="1" applyProtection="1">
      <protection hidden="1"/>
    </xf>
    <xf numFmtId="164" fontId="14" fillId="0" borderId="0" xfId="0" applyFont="1" applyAlignment="1" applyProtection="1">
      <alignment horizontal="right"/>
      <protection hidden="1"/>
    </xf>
    <xf numFmtId="164" fontId="14" fillId="0" borderId="0" xfId="0" applyFont="1" applyAlignment="1" applyProtection="1">
      <alignment horizontal="left"/>
      <protection hidden="1"/>
    </xf>
    <xf numFmtId="164" fontId="18" fillId="0" borderId="0" xfId="0" applyFont="1" applyAlignment="1" applyProtection="1">
      <alignment horizontal="right"/>
      <protection hidden="1"/>
    </xf>
    <xf numFmtId="164" fontId="19" fillId="0" borderId="0" xfId="0" applyFont="1" applyProtection="1">
      <protection hidden="1"/>
    </xf>
    <xf numFmtId="164" fontId="18" fillId="0" borderId="0" xfId="0" applyFont="1" applyAlignment="1" applyProtection="1">
      <alignment horizontal="center"/>
      <protection hidden="1"/>
    </xf>
    <xf numFmtId="168" fontId="19" fillId="0" borderId="0" xfId="2" applyNumberFormat="1" applyFont="1" applyFill="1" applyBorder="1" applyAlignment="1" applyProtection="1">
      <alignment horizontal="center"/>
      <protection hidden="1"/>
    </xf>
    <xf numFmtId="164" fontId="18" fillId="0" borderId="0" xfId="0" applyFont="1" applyAlignment="1">
      <alignment horizontal="right"/>
    </xf>
    <xf numFmtId="49" fontId="18" fillId="0" borderId="0" xfId="0" applyNumberFormat="1" applyFont="1"/>
    <xf numFmtId="164" fontId="18" fillId="0" borderId="0" xfId="0" applyFont="1" applyAlignment="1">
      <alignment horizontal="left"/>
    </xf>
    <xf numFmtId="164" fontId="18" fillId="0" borderId="0" xfId="0" applyFont="1" applyProtection="1">
      <protection hidden="1"/>
    </xf>
    <xf numFmtId="164" fontId="19" fillId="0" borderId="0" xfId="0" applyFont="1" applyAlignment="1">
      <alignment horizontal="center"/>
    </xf>
    <xf numFmtId="168" fontId="19" fillId="0" borderId="0" xfId="0" applyNumberFormat="1" applyFont="1"/>
    <xf numFmtId="1" fontId="19" fillId="0" borderId="0" xfId="0" applyNumberFormat="1" applyFont="1"/>
    <xf numFmtId="49" fontId="19" fillId="0" borderId="0" xfId="0" applyNumberFormat="1" applyFont="1" applyAlignment="1" applyProtection="1">
      <alignment horizontal="center"/>
      <protection hidden="1"/>
    </xf>
    <xf numFmtId="15" fontId="19" fillId="0" borderId="0" xfId="0" applyNumberFormat="1" applyFont="1"/>
    <xf numFmtId="49" fontId="19" fillId="0" borderId="0" xfId="0" applyNumberFormat="1" applyFont="1" applyAlignment="1">
      <alignment horizontal="center"/>
    </xf>
    <xf numFmtId="164" fontId="21" fillId="0" borderId="0" xfId="0" applyFont="1" applyProtection="1">
      <protection hidden="1"/>
    </xf>
    <xf numFmtId="15" fontId="13" fillId="0" borderId="0" xfId="0" applyNumberFormat="1" applyFont="1" applyAlignment="1" applyProtection="1">
      <alignment horizontal="left"/>
      <protection hidden="1"/>
    </xf>
    <xf numFmtId="164" fontId="13" fillId="0" borderId="0" xfId="0" applyFont="1" applyAlignment="1" applyProtection="1">
      <alignment horizontal="center"/>
      <protection hidden="1"/>
    </xf>
    <xf numFmtId="166" fontId="13" fillId="0" borderId="0" xfId="0" applyNumberFormat="1" applyFont="1" applyProtection="1">
      <protection hidden="1"/>
    </xf>
    <xf numFmtId="2" fontId="20" fillId="0" borderId="0" xfId="0" applyNumberFormat="1" applyFont="1" applyProtection="1">
      <protection hidden="1"/>
    </xf>
    <xf numFmtId="164" fontId="20" fillId="0" borderId="7" xfId="0" applyFont="1" applyBorder="1" applyProtection="1">
      <protection hidden="1"/>
    </xf>
    <xf numFmtId="164" fontId="15" fillId="0" borderId="7" xfId="0" applyFont="1" applyBorder="1" applyProtection="1">
      <protection hidden="1"/>
    </xf>
    <xf numFmtId="164" fontId="23" fillId="0" borderId="0" xfId="0" applyFont="1" applyAlignment="1" applyProtection="1">
      <alignment horizontal="left"/>
      <protection hidden="1"/>
    </xf>
    <xf numFmtId="168" fontId="20" fillId="0" borderId="0" xfId="0" applyNumberFormat="1" applyFont="1" applyAlignment="1" applyProtection="1">
      <alignment horizontal="center"/>
      <protection hidden="1"/>
    </xf>
    <xf numFmtId="164" fontId="20" fillId="0" borderId="0" xfId="0" applyFont="1" applyAlignment="1" applyProtection="1">
      <alignment horizontal="left"/>
      <protection hidden="1"/>
    </xf>
    <xf numFmtId="7" fontId="20" fillId="0" borderId="24" xfId="0" applyNumberFormat="1" applyFont="1" applyBorder="1" applyAlignment="1" applyProtection="1">
      <alignment horizontal="center"/>
      <protection hidden="1"/>
    </xf>
    <xf numFmtId="7" fontId="20" fillId="12" borderId="3" xfId="0" applyNumberFormat="1" applyFont="1" applyFill="1" applyBorder="1" applyAlignment="1" applyProtection="1">
      <alignment horizontal="center"/>
      <protection hidden="1"/>
    </xf>
    <xf numFmtId="7" fontId="20" fillId="0" borderId="25" xfId="0" applyNumberFormat="1" applyFont="1" applyBorder="1" applyAlignment="1" applyProtection="1">
      <alignment horizontal="center"/>
      <protection hidden="1"/>
    </xf>
    <xf numFmtId="164" fontId="20" fillId="0" borderId="0" xfId="0" quotePrefix="1" applyFont="1" applyAlignment="1" applyProtection="1">
      <alignment horizontal="center"/>
      <protection hidden="1"/>
    </xf>
    <xf numFmtId="7" fontId="20" fillId="0" borderId="0" xfId="0" applyNumberFormat="1" applyFont="1" applyAlignment="1" applyProtection="1">
      <alignment horizontal="center"/>
      <protection hidden="1"/>
    </xf>
    <xf numFmtId="7" fontId="20" fillId="4" borderId="0" xfId="0" applyNumberFormat="1" applyFont="1" applyFill="1" applyAlignment="1" applyProtection="1">
      <alignment horizontal="center"/>
      <protection hidden="1"/>
    </xf>
    <xf numFmtId="164" fontId="15" fillId="0" borderId="0" xfId="0" applyFont="1" applyAlignment="1" applyProtection="1">
      <alignment horizontal="right"/>
      <protection hidden="1"/>
    </xf>
    <xf numFmtId="167" fontId="15" fillId="0" borderId="0" xfId="0" applyNumberFormat="1" applyFont="1" applyAlignment="1" applyProtection="1">
      <alignment horizontal="center"/>
      <protection hidden="1"/>
    </xf>
    <xf numFmtId="7" fontId="20" fillId="0" borderId="0" xfId="0" applyNumberFormat="1" applyFont="1" applyAlignment="1" applyProtection="1">
      <alignment horizontal="left"/>
      <protection hidden="1"/>
    </xf>
    <xf numFmtId="7" fontId="15" fillId="0" borderId="0" xfId="0" applyNumberFormat="1" applyFont="1" applyAlignment="1" applyProtection="1">
      <alignment horizontal="center"/>
      <protection hidden="1"/>
    </xf>
    <xf numFmtId="164" fontId="15" fillId="0" borderId="0" xfId="0" quotePrefix="1" applyFont="1" applyAlignment="1" applyProtection="1">
      <alignment horizontal="left"/>
      <protection hidden="1"/>
    </xf>
    <xf numFmtId="164" fontId="22" fillId="0" borderId="0" xfId="0" applyFont="1" applyAlignment="1" applyProtection="1">
      <alignment horizontal="right"/>
      <protection hidden="1"/>
    </xf>
    <xf numFmtId="7" fontId="20" fillId="0" borderId="0" xfId="0" applyNumberFormat="1" applyFont="1" applyProtection="1">
      <protection hidden="1"/>
    </xf>
    <xf numFmtId="168" fontId="20" fillId="0" borderId="0" xfId="2" applyNumberFormat="1" applyFont="1" applyFill="1" applyBorder="1" applyAlignment="1" applyProtection="1">
      <alignment horizontal="center"/>
      <protection hidden="1"/>
    </xf>
    <xf numFmtId="49" fontId="13" fillId="0" borderId="0" xfId="0" applyNumberFormat="1" applyFont="1"/>
    <xf numFmtId="164" fontId="18" fillId="0" borderId="0" xfId="0" applyFont="1" applyAlignment="1" applyProtection="1">
      <alignment horizontal="left"/>
      <protection hidden="1"/>
    </xf>
    <xf numFmtId="15" fontId="20" fillId="0" borderId="0" xfId="0" applyNumberFormat="1" applyFont="1" applyAlignment="1" applyProtection="1">
      <alignment horizontal="left"/>
      <protection hidden="1"/>
    </xf>
    <xf numFmtId="164" fontId="20" fillId="0" borderId="28" xfId="0" applyFont="1" applyBorder="1" applyProtection="1">
      <protection hidden="1"/>
    </xf>
    <xf numFmtId="164" fontId="15" fillId="0" borderId="0" xfId="0" quotePrefix="1" applyFont="1" applyAlignment="1" applyProtection="1">
      <alignment horizontal="right"/>
      <protection hidden="1"/>
    </xf>
    <xf numFmtId="164" fontId="15" fillId="0" borderId="3" xfId="0" applyFont="1" applyBorder="1" applyAlignment="1" applyProtection="1">
      <alignment horizontal="center"/>
      <protection hidden="1"/>
    </xf>
    <xf numFmtId="164" fontId="15" fillId="0" borderId="4" xfId="0" applyFont="1" applyBorder="1" applyAlignment="1" applyProtection="1">
      <alignment horizontal="center"/>
      <protection hidden="1"/>
    </xf>
    <xf numFmtId="7" fontId="20" fillId="0" borderId="10" xfId="0" applyNumberFormat="1" applyFont="1" applyBorder="1" applyAlignment="1" applyProtection="1">
      <alignment horizontal="center"/>
      <protection hidden="1"/>
    </xf>
    <xf numFmtId="164" fontId="20" fillId="0" borderId="15" xfId="0" applyFont="1" applyBorder="1" applyProtection="1">
      <protection hidden="1"/>
    </xf>
    <xf numFmtId="164" fontId="20" fillId="0" borderId="12" xfId="0" applyFont="1" applyBorder="1" applyAlignment="1" applyProtection="1">
      <alignment horizontal="left"/>
      <protection hidden="1"/>
    </xf>
    <xf numFmtId="164" fontId="20" fillId="0" borderId="6" xfId="0" applyFont="1" applyBorder="1" applyAlignment="1" applyProtection="1">
      <alignment horizontal="left"/>
      <protection hidden="1"/>
    </xf>
    <xf numFmtId="164" fontId="20" fillId="0" borderId="5" xfId="0" applyFont="1" applyBorder="1" applyProtection="1">
      <protection hidden="1"/>
    </xf>
    <xf numFmtId="7" fontId="20" fillId="15" borderId="10" xfId="0" applyNumberFormat="1" applyFont="1" applyFill="1" applyBorder="1" applyAlignment="1" applyProtection="1">
      <alignment horizontal="center"/>
      <protection hidden="1"/>
    </xf>
    <xf numFmtId="7" fontId="20" fillId="2" borderId="3" xfId="0" applyNumberFormat="1" applyFont="1" applyFill="1" applyBorder="1" applyAlignment="1" applyProtection="1">
      <alignment horizontal="center"/>
      <protection hidden="1"/>
    </xf>
    <xf numFmtId="164" fontId="20" fillId="0" borderId="13" xfId="0" applyFont="1" applyBorder="1" applyAlignment="1" applyProtection="1">
      <alignment horizontal="left"/>
      <protection hidden="1"/>
    </xf>
    <xf numFmtId="164" fontId="20" fillId="0" borderId="14" xfId="0" applyFont="1" applyBorder="1" applyAlignment="1" applyProtection="1">
      <alignment horizontal="left"/>
      <protection hidden="1"/>
    </xf>
    <xf numFmtId="7" fontId="20" fillId="0" borderId="3" xfId="0" applyNumberFormat="1" applyFont="1" applyBorder="1" applyAlignment="1" applyProtection="1">
      <alignment horizontal="center"/>
      <protection hidden="1"/>
    </xf>
    <xf numFmtId="7" fontId="15" fillId="0" borderId="4" xfId="0" applyNumberFormat="1" applyFont="1" applyBorder="1" applyAlignment="1" applyProtection="1">
      <alignment horizontal="right"/>
      <protection hidden="1"/>
    </xf>
    <xf numFmtId="7" fontId="20" fillId="2" borderId="26" xfId="0" applyNumberFormat="1" applyFont="1" applyFill="1" applyBorder="1" applyAlignment="1" applyProtection="1">
      <alignment horizontal="center"/>
      <protection hidden="1"/>
    </xf>
    <xf numFmtId="7" fontId="20" fillId="6" borderId="3" xfId="0" applyNumberFormat="1" applyFont="1" applyFill="1" applyBorder="1" applyAlignment="1" applyProtection="1">
      <alignment horizontal="center"/>
      <protection hidden="1"/>
    </xf>
    <xf numFmtId="173" fontId="15" fillId="0" borderId="0" xfId="0" applyNumberFormat="1" applyFont="1" applyAlignment="1" applyProtection="1">
      <alignment horizontal="right"/>
      <protection hidden="1"/>
    </xf>
    <xf numFmtId="168" fontId="20" fillId="12" borderId="3" xfId="0" applyNumberFormat="1" applyFont="1" applyFill="1" applyBorder="1" applyAlignment="1" applyProtection="1">
      <alignment horizontal="center"/>
      <protection hidden="1"/>
    </xf>
    <xf numFmtId="164" fontId="28" fillId="0" borderId="0" xfId="0" applyFont="1" applyProtection="1">
      <protection hidden="1"/>
    </xf>
    <xf numFmtId="164" fontId="20" fillId="0" borderId="4" xfId="0" applyFont="1" applyBorder="1" applyProtection="1">
      <protection hidden="1"/>
    </xf>
    <xf numFmtId="7" fontId="15" fillId="0" borderId="2" xfId="0" applyNumberFormat="1" applyFont="1" applyBorder="1" applyAlignment="1" applyProtection="1">
      <alignment horizontal="center"/>
      <protection hidden="1"/>
    </xf>
    <xf numFmtId="164" fontId="15" fillId="0" borderId="30" xfId="0" applyFont="1" applyBorder="1" applyAlignment="1" applyProtection="1">
      <alignment horizontal="right"/>
      <protection hidden="1"/>
    </xf>
    <xf numFmtId="164" fontId="15" fillId="0" borderId="9" xfId="0" applyFont="1" applyBorder="1" applyAlignment="1" applyProtection="1">
      <alignment horizontal="center"/>
      <protection hidden="1"/>
    </xf>
    <xf numFmtId="164" fontId="20" fillId="0" borderId="2" xfId="0" applyFont="1" applyBorder="1" applyProtection="1">
      <protection hidden="1"/>
    </xf>
    <xf numFmtId="168" fontId="20" fillId="8" borderId="3" xfId="0" applyNumberFormat="1" applyFont="1" applyFill="1" applyBorder="1" applyAlignment="1" applyProtection="1">
      <alignment horizontal="center"/>
      <protection hidden="1"/>
    </xf>
    <xf numFmtId="164" fontId="18" fillId="0" borderId="0" xfId="0" applyFont="1"/>
    <xf numFmtId="4" fontId="19" fillId="0" borderId="0" xfId="0" applyNumberFormat="1" applyFont="1"/>
    <xf numFmtId="15" fontId="19" fillId="0" borderId="0" xfId="0" applyNumberFormat="1" applyFont="1" applyAlignment="1">
      <alignment horizontal="center"/>
    </xf>
    <xf numFmtId="164" fontId="14" fillId="0" borderId="0" xfId="0" applyFont="1" applyAlignment="1" applyProtection="1">
      <alignment horizontal="center"/>
      <protection hidden="1"/>
    </xf>
    <xf numFmtId="49" fontId="15" fillId="0" borderId="0" xfId="0" applyNumberFormat="1" applyFont="1" applyAlignment="1" applyProtection="1">
      <alignment horizontal="center"/>
      <protection hidden="1"/>
    </xf>
    <xf numFmtId="164" fontId="20" fillId="7" borderId="4" xfId="0" applyFont="1" applyFill="1" applyBorder="1" applyAlignment="1" applyProtection="1">
      <alignment horizontal="left"/>
      <protection hidden="1"/>
    </xf>
    <xf numFmtId="164" fontId="20" fillId="7" borderId="2" xfId="0" applyFont="1" applyFill="1" applyBorder="1" applyAlignment="1" applyProtection="1">
      <alignment horizontal="left"/>
      <protection hidden="1"/>
    </xf>
    <xf numFmtId="164" fontId="20" fillId="7" borderId="9" xfId="0" applyFont="1" applyFill="1" applyBorder="1" applyProtection="1">
      <protection hidden="1"/>
    </xf>
    <xf numFmtId="7" fontId="20" fillId="7" borderId="0" xfId="0" applyNumberFormat="1" applyFont="1" applyFill="1" applyAlignment="1" applyProtection="1">
      <alignment horizontal="center"/>
      <protection hidden="1"/>
    </xf>
    <xf numFmtId="164" fontId="20" fillId="7" borderId="19" xfId="0" applyFont="1" applyFill="1" applyBorder="1" applyAlignment="1" applyProtection="1">
      <alignment horizontal="center"/>
      <protection hidden="1"/>
    </xf>
    <xf numFmtId="164" fontId="20" fillId="7" borderId="3" xfId="0" applyFont="1" applyFill="1" applyBorder="1" applyAlignment="1" applyProtection="1">
      <alignment horizontal="center"/>
      <protection hidden="1"/>
    </xf>
    <xf numFmtId="167" fontId="20" fillId="7" borderId="4" xfId="0" applyNumberFormat="1" applyFont="1" applyFill="1" applyBorder="1" applyAlignment="1" applyProtection="1">
      <alignment horizontal="center"/>
      <protection hidden="1"/>
    </xf>
    <xf numFmtId="7" fontId="20" fillId="7" borderId="5" xfId="0" applyNumberFormat="1" applyFont="1" applyFill="1" applyBorder="1" applyAlignment="1" applyProtection="1">
      <alignment horizontal="center"/>
      <protection hidden="1"/>
    </xf>
    <xf numFmtId="7" fontId="20" fillId="7" borderId="21" xfId="0" applyNumberFormat="1" applyFont="1" applyFill="1" applyBorder="1" applyAlignment="1" applyProtection="1">
      <alignment horizontal="center"/>
      <protection hidden="1"/>
    </xf>
    <xf numFmtId="7" fontId="20" fillId="0" borderId="22" xfId="0" applyNumberFormat="1" applyFont="1" applyBorder="1" applyAlignment="1" applyProtection="1">
      <alignment horizontal="center"/>
      <protection hidden="1"/>
    </xf>
    <xf numFmtId="164" fontId="20" fillId="0" borderId="3" xfId="0" applyFont="1" applyBorder="1" applyAlignment="1" applyProtection="1">
      <alignment horizontal="center"/>
      <protection locked="0"/>
    </xf>
    <xf numFmtId="164" fontId="20" fillId="8" borderId="3" xfId="0" applyFont="1" applyFill="1" applyBorder="1" applyAlignment="1" applyProtection="1">
      <alignment horizontal="center"/>
      <protection hidden="1"/>
    </xf>
    <xf numFmtId="167" fontId="20" fillId="0" borderId="4" xfId="0" applyNumberFormat="1" applyFont="1" applyBorder="1" applyAlignment="1" applyProtection="1">
      <alignment horizontal="center"/>
      <protection locked="0"/>
    </xf>
    <xf numFmtId="167" fontId="20" fillId="9" borderId="23" xfId="0" applyNumberFormat="1" applyFont="1" applyFill="1" applyBorder="1" applyAlignment="1" applyProtection="1">
      <alignment horizontal="center"/>
      <protection hidden="1"/>
    </xf>
    <xf numFmtId="164" fontId="15" fillId="0" borderId="4" xfId="0" applyFont="1" applyBorder="1" applyAlignment="1" applyProtection="1">
      <alignment horizontal="left"/>
      <protection hidden="1"/>
    </xf>
    <xf numFmtId="164" fontId="15" fillId="0" borderId="2" xfId="0" applyFont="1" applyBorder="1" applyAlignment="1" applyProtection="1">
      <alignment horizontal="left"/>
      <protection hidden="1"/>
    </xf>
    <xf numFmtId="167" fontId="15" fillId="0" borderId="0" xfId="0" applyNumberFormat="1" applyFont="1" applyAlignment="1" applyProtection="1">
      <alignment horizontal="right"/>
      <protection hidden="1"/>
    </xf>
    <xf numFmtId="7" fontId="15" fillId="0" borderId="17" xfId="0" applyNumberFormat="1" applyFont="1" applyBorder="1" applyAlignment="1" applyProtection="1">
      <alignment horizontal="right"/>
      <protection hidden="1"/>
    </xf>
    <xf numFmtId="7" fontId="15" fillId="0" borderId="0" xfId="0" applyNumberFormat="1" applyFont="1" applyAlignment="1" applyProtection="1">
      <alignment horizontal="right"/>
      <protection hidden="1"/>
    </xf>
    <xf numFmtId="168" fontId="20" fillId="0" borderId="3" xfId="0" applyNumberFormat="1" applyFont="1" applyBorder="1" applyAlignment="1" applyProtection="1">
      <alignment horizontal="center"/>
      <protection locked="0"/>
    </xf>
    <xf numFmtId="164" fontId="20" fillId="5" borderId="3" xfId="0" applyFont="1" applyFill="1" applyBorder="1" applyAlignment="1" applyProtection="1">
      <alignment horizontal="center"/>
      <protection hidden="1"/>
    </xf>
    <xf numFmtId="167" fontId="20" fillId="5" borderId="4" xfId="0" applyNumberFormat="1" applyFont="1" applyFill="1" applyBorder="1" applyAlignment="1" applyProtection="1">
      <alignment horizontal="center"/>
      <protection hidden="1"/>
    </xf>
    <xf numFmtId="2" fontId="20" fillId="4" borderId="3" xfId="0" applyNumberFormat="1" applyFont="1" applyFill="1" applyBorder="1" applyAlignment="1" applyProtection="1">
      <alignment horizontal="center"/>
      <protection locked="0"/>
    </xf>
    <xf numFmtId="7" fontId="22" fillId="9" borderId="3" xfId="0" applyNumberFormat="1" applyFont="1" applyFill="1" applyBorder="1" applyAlignment="1" applyProtection="1">
      <alignment horizontal="center"/>
      <protection hidden="1"/>
    </xf>
    <xf numFmtId="164" fontId="23" fillId="0" borderId="0" xfId="0" applyFont="1" applyProtection="1">
      <protection hidden="1"/>
    </xf>
    <xf numFmtId="164" fontId="20" fillId="0" borderId="0" xfId="0" applyFont="1" applyAlignment="1" applyProtection="1">
      <alignment horizontal="center"/>
      <protection hidden="1"/>
    </xf>
    <xf numFmtId="167" fontId="20" fillId="0" borderId="0" xfId="0" applyNumberFormat="1" applyFont="1" applyAlignment="1" applyProtection="1">
      <alignment horizontal="center"/>
      <protection hidden="1"/>
    </xf>
    <xf numFmtId="167" fontId="20" fillId="4" borderId="0" xfId="0" applyNumberFormat="1" applyFont="1" applyFill="1" applyAlignment="1" applyProtection="1">
      <alignment horizontal="center"/>
      <protection hidden="1"/>
    </xf>
    <xf numFmtId="167" fontId="20" fillId="5" borderId="3" xfId="0" applyNumberFormat="1" applyFont="1" applyFill="1" applyBorder="1" applyAlignment="1" applyProtection="1">
      <alignment horizontal="center"/>
      <protection hidden="1"/>
    </xf>
    <xf numFmtId="164" fontId="20" fillId="0" borderId="0" xfId="0" applyFont="1" applyAlignment="1" applyProtection="1">
      <alignment horizontal="right"/>
      <protection hidden="1"/>
    </xf>
    <xf numFmtId="7" fontId="15" fillId="14" borderId="3" xfId="0" quotePrefix="1" applyNumberFormat="1" applyFont="1" applyFill="1" applyBorder="1" applyAlignment="1" applyProtection="1">
      <alignment horizontal="center"/>
      <protection hidden="1"/>
    </xf>
    <xf numFmtId="164" fontId="15" fillId="0" borderId="0" xfId="0" applyFont="1"/>
    <xf numFmtId="164" fontId="20" fillId="0" borderId="0" xfId="0" applyFont="1"/>
    <xf numFmtId="49" fontId="15" fillId="0" borderId="0" xfId="0" applyNumberFormat="1" applyFont="1"/>
    <xf numFmtId="167" fontId="20" fillId="7" borderId="27" xfId="0" applyNumberFormat="1" applyFont="1" applyFill="1" applyBorder="1" applyAlignment="1" applyProtection="1">
      <alignment horizontal="center"/>
      <protection hidden="1"/>
    </xf>
    <xf numFmtId="7" fontId="20" fillId="9" borderId="15" xfId="0" applyNumberFormat="1" applyFont="1" applyFill="1" applyBorder="1" applyAlignment="1" applyProtection="1">
      <alignment horizontal="center"/>
      <protection hidden="1"/>
    </xf>
    <xf numFmtId="7" fontId="20" fillId="2" borderId="20" xfId="0" applyNumberFormat="1" applyFont="1" applyFill="1" applyBorder="1" applyAlignment="1" applyProtection="1">
      <alignment horizontal="center"/>
      <protection hidden="1"/>
    </xf>
    <xf numFmtId="164" fontId="15" fillId="0" borderId="3" xfId="0" applyFont="1" applyBorder="1" applyAlignment="1" applyProtection="1">
      <alignment horizontal="center" wrapText="1"/>
      <protection hidden="1"/>
    </xf>
    <xf numFmtId="164" fontId="15" fillId="0" borderId="0" xfId="0" applyFont="1" applyAlignment="1" applyProtection="1">
      <alignment horizontal="center" wrapText="1"/>
      <protection hidden="1"/>
    </xf>
    <xf numFmtId="168" fontId="20" fillId="10" borderId="3" xfId="0" applyNumberFormat="1" applyFont="1" applyFill="1" applyBorder="1" applyAlignment="1" applyProtection="1">
      <alignment horizontal="center"/>
      <protection hidden="1"/>
    </xf>
    <xf numFmtId="170" fontId="15" fillId="0" borderId="0" xfId="0" applyNumberFormat="1" applyFont="1" applyAlignment="1">
      <alignment horizontal="center"/>
    </xf>
    <xf numFmtId="3" fontId="20" fillId="0" borderId="0" xfId="0" applyNumberFormat="1" applyFont="1" applyAlignment="1" applyProtection="1">
      <alignment horizontal="center"/>
      <protection hidden="1"/>
    </xf>
    <xf numFmtId="168" fontId="28" fillId="0" borderId="9" xfId="0" applyNumberFormat="1" applyFont="1" applyBorder="1" applyAlignment="1" applyProtection="1">
      <alignment horizontal="center"/>
      <protection hidden="1"/>
    </xf>
    <xf numFmtId="168" fontId="20" fillId="11" borderId="3" xfId="0" applyNumberFormat="1" applyFont="1" applyFill="1" applyBorder="1" applyAlignment="1" applyProtection="1">
      <alignment horizontal="center"/>
      <protection hidden="1"/>
    </xf>
    <xf numFmtId="172" fontId="15" fillId="0" borderId="0" xfId="0" applyNumberFormat="1" applyFont="1" applyProtection="1">
      <protection hidden="1"/>
    </xf>
    <xf numFmtId="172" fontId="20" fillId="0" borderId="0" xfId="0" applyNumberFormat="1" applyFont="1" applyProtection="1">
      <protection hidden="1"/>
    </xf>
    <xf numFmtId="168" fontId="20" fillId="6" borderId="3" xfId="0" applyNumberFormat="1" applyFont="1" applyFill="1" applyBorder="1" applyAlignment="1" applyProtection="1">
      <alignment horizontal="center"/>
      <protection hidden="1"/>
    </xf>
    <xf numFmtId="164" fontId="15" fillId="11" borderId="3" xfId="0" applyFont="1" applyFill="1" applyBorder="1" applyProtection="1">
      <protection hidden="1"/>
    </xf>
    <xf numFmtId="168" fontId="20" fillId="11" borderId="3" xfId="0" applyNumberFormat="1" applyFont="1" applyFill="1" applyBorder="1" applyProtection="1">
      <protection hidden="1"/>
    </xf>
    <xf numFmtId="168" fontId="20" fillId="13" borderId="3" xfId="0" applyNumberFormat="1" applyFont="1" applyFill="1" applyBorder="1" applyAlignment="1" applyProtection="1">
      <alignment horizontal="center"/>
      <protection hidden="1"/>
    </xf>
    <xf numFmtId="164" fontId="20" fillId="0" borderId="0" xfId="0" applyFont="1" applyAlignment="1" applyProtection="1">
      <alignment horizontal="centerContinuous"/>
      <protection hidden="1"/>
    </xf>
    <xf numFmtId="164" fontId="15" fillId="0" borderId="0" xfId="0" applyFont="1" applyAlignment="1" applyProtection="1">
      <alignment horizontal="center" vertical="center"/>
      <protection hidden="1"/>
    </xf>
    <xf numFmtId="164" fontId="32" fillId="19" borderId="0" xfId="0" applyFont="1" applyFill="1" applyAlignment="1" applyProtection="1">
      <alignment horizontal="center"/>
      <protection hidden="1"/>
    </xf>
    <xf numFmtId="167" fontId="20" fillId="20" borderId="3" xfId="0" applyNumberFormat="1" applyFont="1" applyFill="1" applyBorder="1" applyAlignment="1" applyProtection="1">
      <alignment horizontal="center"/>
      <protection hidden="1"/>
    </xf>
    <xf numFmtId="7" fontId="20" fillId="20" borderId="3" xfId="0" applyNumberFormat="1" applyFont="1" applyFill="1" applyBorder="1" applyAlignment="1" applyProtection="1">
      <alignment horizontal="center"/>
      <protection hidden="1"/>
    </xf>
    <xf numFmtId="165" fontId="15" fillId="20" borderId="3" xfId="0" applyNumberFormat="1" applyFont="1" applyFill="1" applyBorder="1" applyAlignment="1">
      <alignment horizontal="center"/>
    </xf>
    <xf numFmtId="1" fontId="15" fillId="20" borderId="3" xfId="0" applyNumberFormat="1" applyFont="1" applyFill="1" applyBorder="1" applyAlignment="1" applyProtection="1">
      <alignment horizontal="center"/>
      <protection hidden="1"/>
    </xf>
    <xf numFmtId="173" fontId="20" fillId="20" borderId="3" xfId="0" applyNumberFormat="1" applyFont="1" applyFill="1" applyBorder="1" applyAlignment="1" applyProtection="1">
      <alignment horizontal="center"/>
      <protection hidden="1"/>
    </xf>
    <xf numFmtId="7" fontId="15" fillId="20" borderId="3" xfId="0" applyNumberFormat="1" applyFont="1" applyFill="1" applyBorder="1" applyAlignment="1" applyProtection="1">
      <alignment horizontal="center"/>
      <protection hidden="1"/>
    </xf>
    <xf numFmtId="168" fontId="20" fillId="20" borderId="3" xfId="0" applyNumberFormat="1" applyFont="1" applyFill="1" applyBorder="1" applyAlignment="1" applyProtection="1">
      <alignment horizontal="center"/>
      <protection hidden="1"/>
    </xf>
    <xf numFmtId="165" fontId="20" fillId="20" borderId="3" xfId="0" applyNumberFormat="1" applyFont="1" applyFill="1" applyBorder="1" applyAlignment="1" applyProtection="1">
      <alignment horizontal="center"/>
      <protection hidden="1"/>
    </xf>
    <xf numFmtId="168" fontId="20" fillId="20" borderId="3" xfId="2" applyNumberFormat="1" applyFont="1" applyFill="1" applyBorder="1" applyAlignment="1" applyProtection="1">
      <alignment horizontal="center"/>
      <protection hidden="1"/>
    </xf>
    <xf numFmtId="7" fontId="20" fillId="20" borderId="9" xfId="0" applyNumberFormat="1" applyFont="1" applyFill="1" applyBorder="1" applyAlignment="1" applyProtection="1">
      <alignment horizontal="center"/>
      <protection hidden="1"/>
    </xf>
    <xf numFmtId="7" fontId="20" fillId="20" borderId="15" xfId="0" applyNumberFormat="1" applyFont="1" applyFill="1" applyBorder="1" applyAlignment="1" applyProtection="1">
      <alignment horizontal="center"/>
      <protection hidden="1"/>
    </xf>
    <xf numFmtId="2" fontId="15" fillId="20" borderId="3" xfId="0" applyNumberFormat="1" applyFont="1" applyFill="1" applyBorder="1" applyAlignment="1" applyProtection="1">
      <alignment horizontal="center"/>
      <protection hidden="1"/>
    </xf>
    <xf numFmtId="7" fontId="15" fillId="20" borderId="4" xfId="0" applyNumberFormat="1" applyFont="1" applyFill="1" applyBorder="1" applyAlignment="1" applyProtection="1">
      <alignment horizontal="center"/>
      <protection hidden="1"/>
    </xf>
    <xf numFmtId="168" fontId="15" fillId="20" borderId="3" xfId="0" applyNumberFormat="1" applyFont="1" applyFill="1" applyBorder="1" applyAlignment="1" applyProtection="1">
      <alignment horizontal="center"/>
      <protection hidden="1"/>
    </xf>
    <xf numFmtId="7" fontId="15" fillId="20" borderId="3" xfId="0" quotePrefix="1" applyNumberFormat="1" applyFont="1" applyFill="1" applyBorder="1" applyAlignment="1" applyProtection="1">
      <alignment horizontal="center"/>
      <protection hidden="1"/>
    </xf>
    <xf numFmtId="164" fontId="15" fillId="20" borderId="4" xfId="0" applyFont="1" applyFill="1" applyBorder="1" applyProtection="1">
      <protection hidden="1"/>
    </xf>
    <xf numFmtId="7" fontId="20" fillId="21" borderId="3" xfId="0" applyNumberFormat="1" applyFont="1" applyFill="1" applyBorder="1" applyAlignment="1" applyProtection="1">
      <alignment horizontal="center"/>
      <protection hidden="1"/>
    </xf>
    <xf numFmtId="7" fontId="20" fillId="21" borderId="4" xfId="0" applyNumberFormat="1" applyFont="1" applyFill="1" applyBorder="1" applyAlignment="1" applyProtection="1">
      <alignment horizontal="center"/>
      <protection hidden="1"/>
    </xf>
    <xf numFmtId="168" fontId="20" fillId="21" borderId="3" xfId="0" applyNumberFormat="1" applyFont="1" applyFill="1" applyBorder="1" applyAlignment="1" applyProtection="1">
      <alignment horizontal="center"/>
      <protection hidden="1"/>
    </xf>
    <xf numFmtId="171" fontId="20" fillId="21" borderId="3" xfId="0" applyNumberFormat="1" applyFont="1" applyFill="1" applyBorder="1" applyAlignment="1" applyProtection="1">
      <alignment horizontal="center"/>
      <protection hidden="1"/>
    </xf>
    <xf numFmtId="164" fontId="20" fillId="21" borderId="0" xfId="0" applyFont="1" applyFill="1" applyAlignment="1" applyProtection="1">
      <alignment horizontal="center"/>
      <protection hidden="1"/>
    </xf>
    <xf numFmtId="164" fontId="20" fillId="21" borderId="19" xfId="0" applyFont="1" applyFill="1" applyBorder="1" applyAlignment="1" applyProtection="1">
      <alignment horizontal="center"/>
      <protection hidden="1"/>
    </xf>
    <xf numFmtId="164" fontId="20" fillId="21" borderId="21" xfId="0" applyFont="1" applyFill="1" applyBorder="1" applyAlignment="1" applyProtection="1">
      <alignment horizontal="center"/>
      <protection hidden="1"/>
    </xf>
    <xf numFmtId="167" fontId="20" fillId="21" borderId="12" xfId="0" applyNumberFormat="1" applyFont="1" applyFill="1" applyBorder="1" applyAlignment="1" applyProtection="1">
      <alignment horizontal="center"/>
      <protection hidden="1"/>
    </xf>
    <xf numFmtId="7" fontId="15" fillId="18" borderId="26" xfId="0" applyNumberFormat="1" applyFont="1" applyFill="1" applyBorder="1" applyAlignment="1" applyProtection="1">
      <alignment horizontal="center"/>
      <protection hidden="1"/>
    </xf>
    <xf numFmtId="164" fontId="15" fillId="18" borderId="26" xfId="0" applyFont="1" applyFill="1" applyBorder="1" applyAlignment="1" applyProtection="1">
      <alignment horizontal="center"/>
      <protection hidden="1"/>
    </xf>
    <xf numFmtId="173" fontId="20" fillId="21" borderId="3" xfId="0" applyNumberFormat="1" applyFont="1" applyFill="1" applyBorder="1" applyAlignment="1" applyProtection="1">
      <alignment horizontal="center"/>
      <protection hidden="1"/>
    </xf>
    <xf numFmtId="164" fontId="35" fillId="0" borderId="0" xfId="0" applyFont="1" applyAlignment="1" applyProtection="1">
      <alignment horizontal="right"/>
      <protection hidden="1"/>
    </xf>
    <xf numFmtId="168" fontId="15" fillId="20" borderId="3" xfId="2" applyNumberFormat="1" applyFont="1" applyFill="1" applyBorder="1" applyAlignment="1" applyProtection="1">
      <alignment horizontal="center"/>
      <protection hidden="1"/>
    </xf>
    <xf numFmtId="1" fontId="15" fillId="22" borderId="3" xfId="0" applyNumberFormat="1" applyFont="1" applyFill="1" applyBorder="1" applyAlignment="1" applyProtection="1">
      <alignment horizontal="center"/>
      <protection locked="0"/>
    </xf>
    <xf numFmtId="164" fontId="20" fillId="22" borderId="12" xfId="0" applyFont="1" applyFill="1" applyBorder="1" applyAlignment="1" applyProtection="1">
      <alignment horizontal="center"/>
      <protection locked="0"/>
    </xf>
    <xf numFmtId="164" fontId="20" fillId="22" borderId="21" xfId="0" applyFont="1" applyFill="1" applyBorder="1" applyAlignment="1" applyProtection="1">
      <alignment horizontal="center"/>
      <protection locked="0"/>
    </xf>
    <xf numFmtId="167" fontId="20" fillId="22" borderId="12" xfId="0" applyNumberFormat="1" applyFont="1" applyFill="1" applyBorder="1" applyAlignment="1" applyProtection="1">
      <alignment horizontal="center"/>
      <protection locked="0"/>
    </xf>
    <xf numFmtId="164" fontId="20" fillId="22" borderId="26" xfId="0" applyFont="1" applyFill="1" applyBorder="1" applyAlignment="1" applyProtection="1">
      <alignment horizontal="center"/>
      <protection locked="0"/>
    </xf>
    <xf numFmtId="167" fontId="20" fillId="22" borderId="13" xfId="0" applyNumberFormat="1" applyFont="1" applyFill="1" applyBorder="1" applyAlignment="1" applyProtection="1">
      <alignment horizontal="center"/>
      <protection locked="0"/>
    </xf>
    <xf numFmtId="164" fontId="20" fillId="22" borderId="3" xfId="0" applyFont="1" applyFill="1" applyBorder="1" applyAlignment="1" applyProtection="1">
      <alignment horizontal="center"/>
      <protection locked="0"/>
    </xf>
    <xf numFmtId="167" fontId="20" fillId="22" borderId="4" xfId="0" applyNumberFormat="1" applyFont="1" applyFill="1" applyBorder="1" applyAlignment="1" applyProtection="1">
      <alignment horizontal="center"/>
      <protection locked="0"/>
    </xf>
    <xf numFmtId="164" fontId="20" fillId="22" borderId="24" xfId="0" applyFont="1" applyFill="1" applyBorder="1" applyAlignment="1" applyProtection="1">
      <alignment horizontal="center"/>
      <protection locked="0"/>
    </xf>
    <xf numFmtId="164" fontId="20" fillId="22" borderId="31" xfId="0" applyFont="1" applyFill="1" applyBorder="1" applyAlignment="1" applyProtection="1">
      <alignment horizontal="center"/>
      <protection locked="0"/>
    </xf>
    <xf numFmtId="164" fontId="15" fillId="22" borderId="3" xfId="0" applyFont="1" applyFill="1" applyBorder="1" applyAlignment="1" applyProtection="1">
      <alignment horizontal="center"/>
      <protection locked="0"/>
    </xf>
    <xf numFmtId="164" fontId="20" fillId="22" borderId="4" xfId="0" applyFont="1" applyFill="1" applyBorder="1" applyAlignment="1" applyProtection="1">
      <alignment horizontal="center"/>
      <protection locked="0"/>
    </xf>
    <xf numFmtId="167" fontId="20" fillId="22" borderId="3" xfId="0" applyNumberFormat="1" applyFont="1" applyFill="1" applyBorder="1" applyAlignment="1" applyProtection="1">
      <alignment horizontal="center"/>
      <protection locked="0"/>
    </xf>
    <xf numFmtId="164" fontId="20" fillId="22" borderId="19" xfId="0" applyFont="1" applyFill="1" applyBorder="1" applyAlignment="1" applyProtection="1">
      <alignment horizontal="center"/>
      <protection locked="0"/>
    </xf>
    <xf numFmtId="164" fontId="20" fillId="22" borderId="29" xfId="0" applyFont="1" applyFill="1" applyBorder="1" applyAlignment="1" applyProtection="1">
      <alignment horizontal="center"/>
      <protection locked="0"/>
    </xf>
    <xf numFmtId="173" fontId="15" fillId="20" borderId="4" xfId="0" applyNumberFormat="1" applyFont="1" applyFill="1" applyBorder="1" applyAlignment="1" applyProtection="1">
      <alignment horizontal="center"/>
      <protection hidden="1"/>
    </xf>
    <xf numFmtId="173" fontId="20" fillId="20" borderId="4" xfId="0" applyNumberFormat="1" applyFont="1" applyFill="1" applyBorder="1" applyAlignment="1" applyProtection="1">
      <alignment horizontal="center"/>
      <protection hidden="1"/>
    </xf>
    <xf numFmtId="168" fontId="15" fillId="20" borderId="5" xfId="0" applyNumberFormat="1" applyFont="1" applyFill="1" applyBorder="1" applyAlignment="1" applyProtection="1">
      <alignment horizontal="center"/>
      <protection hidden="1"/>
    </xf>
    <xf numFmtId="7" fontId="35" fillId="20" borderId="3" xfId="0" applyNumberFormat="1" applyFont="1" applyFill="1" applyBorder="1" applyAlignment="1" applyProtection="1">
      <alignment horizontal="center"/>
      <protection hidden="1"/>
    </xf>
    <xf numFmtId="168" fontId="20" fillId="22" borderId="3" xfId="0" applyNumberFormat="1" applyFont="1" applyFill="1" applyBorder="1" applyAlignment="1" applyProtection="1">
      <alignment horizontal="center"/>
      <protection locked="0"/>
    </xf>
    <xf numFmtId="168" fontId="35" fillId="20" borderId="3" xfId="0" applyNumberFormat="1" applyFont="1" applyFill="1" applyBorder="1" applyAlignment="1" applyProtection="1">
      <alignment horizontal="center"/>
      <protection hidden="1"/>
    </xf>
    <xf numFmtId="10" fontId="20" fillId="21" borderId="3" xfId="0" applyNumberFormat="1" applyFont="1" applyFill="1" applyBorder="1" applyAlignment="1" applyProtection="1">
      <alignment horizontal="center"/>
      <protection hidden="1"/>
    </xf>
    <xf numFmtId="3" fontId="20" fillId="21" borderId="3" xfId="0" applyNumberFormat="1" applyFont="1" applyFill="1" applyBorder="1" applyAlignment="1" applyProtection="1">
      <alignment horizontal="center"/>
      <protection hidden="1"/>
    </xf>
    <xf numFmtId="3" fontId="20" fillId="22" borderId="8" xfId="0" applyNumberFormat="1" applyFont="1" applyFill="1" applyBorder="1" applyProtection="1">
      <protection locked="0"/>
    </xf>
    <xf numFmtId="7" fontId="15" fillId="20" borderId="16" xfId="0" applyNumberFormat="1" applyFont="1" applyFill="1" applyBorder="1" applyAlignment="1" applyProtection="1">
      <alignment horizontal="center"/>
      <protection hidden="1"/>
    </xf>
    <xf numFmtId="164" fontId="16" fillId="19" borderId="0" xfId="0" applyFont="1" applyFill="1" applyProtection="1">
      <protection hidden="1"/>
    </xf>
    <xf numFmtId="164" fontId="15" fillId="0" borderId="6" xfId="0" applyFont="1" applyBorder="1" applyProtection="1">
      <protection hidden="1"/>
    </xf>
    <xf numFmtId="164" fontId="23" fillId="0" borderId="6" xfId="0" applyFont="1" applyBorder="1" applyAlignment="1" applyProtection="1">
      <alignment horizontal="left"/>
      <protection hidden="1"/>
    </xf>
    <xf numFmtId="164" fontId="24" fillId="0" borderId="0" xfId="0" applyFont="1" applyAlignment="1" applyProtection="1">
      <alignment horizontal="center" vertical="top"/>
      <protection hidden="1"/>
    </xf>
    <xf numFmtId="164" fontId="17" fillId="0" borderId="0" xfId="0" applyFont="1" applyAlignment="1" applyProtection="1">
      <alignment horizontal="center" vertical="top"/>
      <protection hidden="1"/>
    </xf>
    <xf numFmtId="164" fontId="24" fillId="0" borderId="0" xfId="0" applyFont="1" applyAlignment="1" applyProtection="1">
      <alignment vertical="top"/>
      <protection hidden="1"/>
    </xf>
    <xf numFmtId="164" fontId="17" fillId="0" borderId="0" xfId="0" applyFont="1" applyAlignment="1" applyProtection="1">
      <alignment vertical="top"/>
      <protection hidden="1"/>
    </xf>
    <xf numFmtId="3" fontId="17" fillId="0" borderId="0" xfId="0" applyNumberFormat="1" applyFont="1" applyAlignment="1" applyProtection="1">
      <alignment horizontal="center" vertical="top"/>
      <protection hidden="1"/>
    </xf>
    <xf numFmtId="164" fontId="25" fillId="0" borderId="0" xfId="0" applyFont="1" applyAlignment="1" applyProtection="1">
      <alignment horizontal="center" vertical="top"/>
      <protection hidden="1"/>
    </xf>
    <xf numFmtId="168" fontId="17" fillId="0" borderId="0" xfId="0" applyNumberFormat="1" applyFont="1" applyAlignment="1" applyProtection="1">
      <alignment vertical="top"/>
      <protection hidden="1"/>
    </xf>
    <xf numFmtId="7" fontId="15" fillId="16" borderId="0" xfId="0" applyNumberFormat="1" applyFont="1" applyFill="1" applyAlignment="1" applyProtection="1">
      <alignment horizontal="right"/>
      <protection hidden="1"/>
    </xf>
    <xf numFmtId="164" fontId="15" fillId="20" borderId="3" xfId="0" applyFont="1" applyFill="1" applyBorder="1" applyAlignment="1" applyProtection="1">
      <alignment horizontal="center"/>
      <protection hidden="1"/>
    </xf>
    <xf numFmtId="173" fontId="15" fillId="20" borderId="3" xfId="0" applyNumberFormat="1" applyFont="1" applyFill="1" applyBorder="1" applyAlignment="1" applyProtection="1">
      <alignment horizontal="center"/>
      <protection hidden="1"/>
    </xf>
    <xf numFmtId="7" fontId="15" fillId="17" borderId="20" xfId="0" applyNumberFormat="1" applyFont="1" applyFill="1" applyBorder="1" applyAlignment="1" applyProtection="1">
      <alignment horizontal="center"/>
      <protection hidden="1"/>
    </xf>
    <xf numFmtId="164" fontId="15" fillId="21" borderId="4" xfId="0" applyFont="1" applyFill="1" applyBorder="1" applyAlignment="1" applyProtection="1">
      <alignment horizontal="left"/>
      <protection hidden="1"/>
    </xf>
    <xf numFmtId="164" fontId="15" fillId="21" borderId="0" xfId="0" applyFont="1" applyFill="1" applyAlignment="1" applyProtection="1">
      <alignment horizontal="right"/>
      <protection hidden="1"/>
    </xf>
    <xf numFmtId="164" fontId="31" fillId="19" borderId="0" xfId="0" applyFont="1" applyFill="1" applyAlignment="1" applyProtection="1">
      <alignment horizontal="centerContinuous"/>
      <protection hidden="1"/>
    </xf>
    <xf numFmtId="164" fontId="37" fillId="19" borderId="0" xfId="0" applyFont="1" applyFill="1" applyAlignment="1" applyProtection="1">
      <alignment horizontal="centerContinuous"/>
      <protection hidden="1"/>
    </xf>
    <xf numFmtId="164" fontId="32" fillId="19" borderId="0" xfId="0" applyFont="1" applyFill="1" applyAlignment="1" applyProtection="1">
      <alignment horizontal="centerContinuous"/>
      <protection hidden="1"/>
    </xf>
    <xf numFmtId="2" fontId="15" fillId="20" borderId="21" xfId="0" applyNumberFormat="1" applyFont="1" applyFill="1" applyBorder="1" applyAlignment="1" applyProtection="1">
      <alignment horizontal="center"/>
      <protection hidden="1"/>
    </xf>
    <xf numFmtId="164" fontId="15" fillId="21" borderId="9" xfId="0" applyFont="1" applyFill="1" applyBorder="1" applyAlignment="1" applyProtection="1">
      <alignment horizontal="right"/>
      <protection hidden="1"/>
    </xf>
    <xf numFmtId="168" fontId="20" fillId="20" borderId="9" xfId="0" applyNumberFormat="1" applyFont="1" applyFill="1" applyBorder="1" applyAlignment="1" applyProtection="1">
      <alignment horizontal="center"/>
      <protection hidden="1"/>
    </xf>
    <xf numFmtId="7" fontId="15" fillId="20" borderId="20" xfId="0" applyNumberFormat="1" applyFont="1" applyFill="1" applyBorder="1" applyAlignment="1" applyProtection="1">
      <alignment horizontal="center"/>
      <protection hidden="1"/>
    </xf>
    <xf numFmtId="164" fontId="13" fillId="0" borderId="0" xfId="0" quotePrefix="1" applyFont="1" applyAlignment="1" applyProtection="1">
      <alignment horizontal="right"/>
      <protection hidden="1"/>
    </xf>
    <xf numFmtId="2" fontId="13" fillId="0" borderId="0" xfId="0" quotePrefix="1" applyNumberFormat="1" applyFont="1" applyAlignment="1" applyProtection="1">
      <alignment horizontal="left"/>
      <protection hidden="1"/>
    </xf>
    <xf numFmtId="164" fontId="38" fillId="0" borderId="0" xfId="0" applyFont="1" applyAlignment="1" applyProtection="1">
      <alignment horizontal="left"/>
      <protection hidden="1"/>
    </xf>
    <xf numFmtId="164" fontId="34" fillId="0" borderId="0" xfId="0" applyFont="1" applyProtection="1">
      <protection hidden="1"/>
    </xf>
    <xf numFmtId="167" fontId="20" fillId="20" borderId="26" xfId="0" applyNumberFormat="1" applyFont="1" applyFill="1" applyBorder="1" applyAlignment="1" applyProtection="1">
      <alignment horizontal="center"/>
      <protection hidden="1"/>
    </xf>
    <xf numFmtId="7" fontId="20" fillId="20" borderId="26" xfId="0" applyNumberFormat="1" applyFont="1" applyFill="1" applyBorder="1" applyAlignment="1" applyProtection="1">
      <alignment horizontal="center"/>
      <protection hidden="1"/>
    </xf>
    <xf numFmtId="37" fontId="15" fillId="20" borderId="3" xfId="0" applyNumberFormat="1" applyFont="1" applyFill="1" applyBorder="1" applyAlignment="1" applyProtection="1">
      <alignment horizontal="center"/>
      <protection hidden="1"/>
    </xf>
    <xf numFmtId="3" fontId="15" fillId="20" borderId="3" xfId="0" applyNumberFormat="1" applyFont="1" applyFill="1" applyBorder="1" applyAlignment="1" applyProtection="1">
      <alignment horizontal="center"/>
      <protection hidden="1"/>
    </xf>
    <xf numFmtId="164" fontId="15" fillId="21" borderId="3" xfId="0" applyFont="1" applyFill="1" applyBorder="1" applyAlignment="1" applyProtection="1">
      <alignment horizontal="center"/>
      <protection hidden="1"/>
    </xf>
    <xf numFmtId="164" fontId="30" fillId="19" borderId="3" xfId="0" applyFont="1" applyFill="1" applyBorder="1" applyAlignment="1" applyProtection="1">
      <alignment horizontal="center" vertical="top"/>
      <protection hidden="1"/>
    </xf>
    <xf numFmtId="7" fontId="24" fillId="20" borderId="3" xfId="0" applyNumberFormat="1" applyFont="1" applyFill="1" applyBorder="1" applyAlignment="1" applyProtection="1">
      <alignment horizontal="center" vertical="top"/>
      <protection hidden="1"/>
    </xf>
    <xf numFmtId="164" fontId="40" fillId="0" borderId="0" xfId="0" applyFont="1" applyAlignment="1" applyProtection="1">
      <alignment horizontal="right" vertical="top"/>
      <protection hidden="1"/>
    </xf>
    <xf numFmtId="2" fontId="24" fillId="20" borderId="3" xfId="0" applyNumberFormat="1" applyFont="1" applyFill="1" applyBorder="1" applyAlignment="1" applyProtection="1">
      <alignment horizontal="center" vertical="top"/>
      <protection hidden="1"/>
    </xf>
    <xf numFmtId="164" fontId="20" fillId="0" borderId="0" xfId="0" applyFont="1" applyAlignment="1">
      <alignment horizontal="center"/>
    </xf>
    <xf numFmtId="164" fontId="20" fillId="0" borderId="0" xfId="0" applyFont="1" applyAlignment="1">
      <alignment horizontal="center" wrapText="1"/>
    </xf>
    <xf numFmtId="164" fontId="20" fillId="0" borderId="0" xfId="0" applyFont="1" applyAlignment="1">
      <alignment wrapText="1"/>
    </xf>
    <xf numFmtId="164" fontId="20" fillId="0" borderId="0" xfId="0" applyFont="1" applyAlignment="1">
      <alignment horizontal="left"/>
    </xf>
    <xf numFmtId="164" fontId="20" fillId="22" borderId="0" xfId="0" applyFont="1" applyFill="1"/>
    <xf numFmtId="164" fontId="20" fillId="20" borderId="0" xfId="0" applyFont="1" applyFill="1"/>
    <xf numFmtId="164" fontId="20" fillId="20" borderId="0" xfId="0" applyFont="1" applyFill="1" applyAlignment="1">
      <alignment horizontal="center"/>
    </xf>
    <xf numFmtId="164" fontId="34" fillId="19" borderId="0" xfId="0" applyFont="1" applyFill="1" applyAlignment="1">
      <alignment horizontal="center"/>
    </xf>
    <xf numFmtId="164" fontId="34" fillId="19" borderId="0" xfId="0" applyFont="1" applyFill="1"/>
    <xf numFmtId="164" fontId="20" fillId="21" borderId="0" xfId="0" applyFont="1" applyFill="1" applyAlignment="1">
      <alignment horizontal="center"/>
    </xf>
    <xf numFmtId="164" fontId="20" fillId="20" borderId="0" xfId="0" applyFont="1" applyFill="1" applyAlignment="1">
      <alignment horizontal="center" wrapText="1"/>
    </xf>
    <xf numFmtId="164" fontId="15" fillId="0" borderId="0" xfId="0" applyFont="1" applyAlignment="1">
      <alignment horizontal="left"/>
    </xf>
    <xf numFmtId="164" fontId="20" fillId="22" borderId="0" xfId="0" applyFont="1" applyFill="1" applyAlignment="1">
      <alignment horizontal="left"/>
    </xf>
    <xf numFmtId="164" fontId="34" fillId="19" borderId="0" xfId="0" applyFont="1" applyFill="1" applyAlignment="1">
      <alignment horizontal="left"/>
    </xf>
    <xf numFmtId="164" fontId="20" fillId="0" borderId="0" xfId="0" applyFont="1" applyAlignment="1">
      <alignment horizontal="left" wrapText="1"/>
    </xf>
    <xf numFmtId="164" fontId="20" fillId="22" borderId="0" xfId="0" applyFont="1" applyFill="1" applyAlignment="1">
      <alignment horizontal="center"/>
    </xf>
    <xf numFmtId="164" fontId="15" fillId="0" borderId="0" xfId="0" applyFont="1" applyAlignment="1">
      <alignment horizontal="center"/>
    </xf>
    <xf numFmtId="164" fontId="20" fillId="21" borderId="0" xfId="0" applyFont="1" applyFill="1"/>
    <xf numFmtId="4" fontId="24" fillId="22" borderId="3" xfId="0" applyNumberFormat="1" applyFont="1" applyFill="1" applyBorder="1" applyAlignment="1" applyProtection="1">
      <alignment horizontal="center" vertical="top"/>
      <protection locked="0"/>
    </xf>
    <xf numFmtId="164" fontId="34" fillId="19" borderId="0" xfId="0" applyFont="1" applyFill="1" applyAlignment="1">
      <alignment vertical="center"/>
    </xf>
    <xf numFmtId="164" fontId="20" fillId="0" borderId="0" xfId="0" applyFont="1" applyAlignment="1">
      <alignment vertical="center"/>
    </xf>
    <xf numFmtId="43" fontId="20" fillId="0" borderId="0" xfId="1" applyFont="1" applyProtection="1">
      <protection hidden="1"/>
    </xf>
    <xf numFmtId="164" fontId="41" fillId="0" borderId="0" xfId="0" applyFont="1"/>
    <xf numFmtId="14" fontId="41" fillId="0" borderId="0" xfId="0" applyNumberFormat="1" applyFont="1"/>
    <xf numFmtId="10" fontId="41" fillId="0" borderId="0" xfId="11" applyNumberFormat="1" applyFont="1"/>
    <xf numFmtId="164" fontId="15" fillId="0" borderId="0" xfId="0" applyFont="1" applyAlignment="1" applyProtection="1">
      <alignment horizontal="right" vertical="center"/>
      <protection hidden="1"/>
    </xf>
    <xf numFmtId="44" fontId="20" fillId="0" borderId="0" xfId="2" applyFont="1" applyFill="1" applyBorder="1" applyProtection="1">
      <protection hidden="1"/>
    </xf>
    <xf numFmtId="39" fontId="15" fillId="0" borderId="6" xfId="2" applyNumberFormat="1" applyFont="1" applyFill="1" applyBorder="1" applyAlignment="1" applyProtection="1">
      <alignment horizontal="center" vertical="center"/>
      <protection hidden="1"/>
    </xf>
    <xf numFmtId="44" fontId="41" fillId="0" borderId="0" xfId="2" applyFont="1"/>
    <xf numFmtId="44" fontId="41" fillId="0" borderId="0" xfId="2" applyFont="1" applyAlignment="1">
      <alignment horizontal="right"/>
    </xf>
    <xf numFmtId="1" fontId="15" fillId="21" borderId="3" xfId="0" applyNumberFormat="1" applyFont="1" applyFill="1" applyBorder="1" applyAlignment="1" applyProtection="1">
      <alignment horizontal="center"/>
      <protection hidden="1"/>
    </xf>
    <xf numFmtId="49" fontId="24" fillId="22" borderId="3" xfId="0" applyNumberFormat="1" applyFont="1" applyFill="1" applyBorder="1" applyAlignment="1" applyProtection="1">
      <alignment horizontal="center" vertical="top"/>
      <protection locked="0"/>
    </xf>
    <xf numFmtId="164" fontId="24" fillId="22" borderId="3" xfId="0" applyFont="1" applyFill="1" applyBorder="1" applyAlignment="1" applyProtection="1">
      <alignment horizontal="center" vertical="top"/>
      <protection locked="0"/>
    </xf>
    <xf numFmtId="164" fontId="24" fillId="0" borderId="0" xfId="0" applyFont="1" applyAlignment="1" applyProtection="1">
      <alignment horizontal="left" vertical="top"/>
      <protection hidden="1"/>
    </xf>
    <xf numFmtId="164" fontId="30" fillId="19" borderId="26" xfId="0" applyFont="1" applyFill="1" applyBorder="1" applyAlignment="1" applyProtection="1">
      <alignment horizontal="center" vertical="top"/>
      <protection hidden="1"/>
    </xf>
    <xf numFmtId="164" fontId="30" fillId="19" borderId="32" xfId="0" applyFont="1" applyFill="1" applyBorder="1" applyAlignment="1" applyProtection="1">
      <alignment horizontal="center" vertical="top"/>
      <protection hidden="1"/>
    </xf>
    <xf numFmtId="49" fontId="24" fillId="22" borderId="9" xfId="0" applyNumberFormat="1" applyFont="1" applyFill="1" applyBorder="1" applyAlignment="1" applyProtection="1">
      <alignment horizontal="center" vertical="top"/>
      <protection locked="0"/>
    </xf>
    <xf numFmtId="164" fontId="17" fillId="0" borderId="11" xfId="0" applyFont="1" applyBorder="1" applyAlignment="1" applyProtection="1">
      <alignment horizontal="left" vertical="top"/>
      <protection hidden="1"/>
    </xf>
    <xf numFmtId="164" fontId="17" fillId="0" borderId="12" xfId="0" applyFont="1" applyBorder="1" applyAlignment="1" applyProtection="1">
      <alignment horizontal="left" vertical="top"/>
      <protection hidden="1"/>
    </xf>
    <xf numFmtId="164" fontId="26" fillId="0" borderId="18" xfId="0" applyFont="1" applyBorder="1" applyAlignment="1" applyProtection="1">
      <alignment horizontal="left" vertical="top"/>
      <protection hidden="1"/>
    </xf>
    <xf numFmtId="164" fontId="17" fillId="0" borderId="18" xfId="0" applyFont="1" applyBorder="1" applyAlignment="1" applyProtection="1">
      <alignment horizontal="left" vertical="top"/>
      <protection hidden="1"/>
    </xf>
    <xf numFmtId="164" fontId="17" fillId="0" borderId="5" xfId="0" applyFont="1" applyBorder="1" applyAlignment="1" applyProtection="1">
      <alignment horizontal="left" vertical="top"/>
      <protection hidden="1"/>
    </xf>
    <xf numFmtId="49" fontId="24" fillId="22" borderId="4" xfId="0" applyNumberFormat="1" applyFont="1" applyFill="1" applyBorder="1" applyAlignment="1" applyProtection="1">
      <alignment horizontal="left" vertical="top"/>
      <protection locked="0"/>
    </xf>
    <xf numFmtId="164" fontId="20" fillId="0" borderId="12" xfId="0" applyFont="1" applyBorder="1" applyProtection="1">
      <protection hidden="1"/>
    </xf>
    <xf numFmtId="164" fontId="20" fillId="0" borderId="13" xfId="0" applyFont="1" applyBorder="1" applyProtection="1">
      <protection hidden="1"/>
    </xf>
    <xf numFmtId="164" fontId="15" fillId="0" borderId="17" xfId="0" applyFont="1" applyBorder="1" applyAlignment="1" applyProtection="1">
      <alignment horizontal="right"/>
      <protection hidden="1"/>
    </xf>
    <xf numFmtId="164" fontId="36" fillId="0" borderId="0" xfId="0" applyFont="1" applyProtection="1">
      <protection hidden="1"/>
    </xf>
    <xf numFmtId="164" fontId="35" fillId="0" borderId="17" xfId="0" applyFont="1" applyBorder="1" applyAlignment="1" applyProtection="1">
      <alignment horizontal="right"/>
      <protection hidden="1"/>
    </xf>
    <xf numFmtId="164" fontId="44" fillId="0" borderId="14" xfId="0" applyFont="1" applyBorder="1" applyProtection="1">
      <protection hidden="1"/>
    </xf>
    <xf numFmtId="173" fontId="14" fillId="0" borderId="0" xfId="0" applyNumberFormat="1" applyFont="1" applyAlignment="1" applyProtection="1">
      <alignment horizontal="center"/>
      <protection hidden="1"/>
    </xf>
    <xf numFmtId="168" fontId="13" fillId="0" borderId="0" xfId="0" applyNumberFormat="1" applyFont="1" applyAlignment="1" applyProtection="1">
      <alignment horizontal="center"/>
      <protection hidden="1"/>
    </xf>
    <xf numFmtId="164" fontId="15" fillId="0" borderId="33" xfId="0" applyFont="1" applyBorder="1" applyAlignment="1" applyProtection="1">
      <alignment horizontal="right"/>
      <protection hidden="1"/>
    </xf>
    <xf numFmtId="164" fontId="44" fillId="0" borderId="0" xfId="0" applyFont="1" applyProtection="1">
      <protection hidden="1"/>
    </xf>
    <xf numFmtId="164" fontId="44" fillId="0" borderId="15" xfId="0" applyFont="1" applyBorder="1" applyProtection="1">
      <protection hidden="1"/>
    </xf>
    <xf numFmtId="168" fontId="20" fillId="22" borderId="0" xfId="0" applyNumberFormat="1" applyFont="1" applyFill="1" applyAlignment="1" applyProtection="1">
      <alignment horizontal="center"/>
      <protection locked="0"/>
    </xf>
    <xf numFmtId="168" fontId="20" fillId="22" borderId="14" xfId="0" applyNumberFormat="1" applyFont="1" applyFill="1" applyBorder="1" applyAlignment="1" applyProtection="1">
      <alignment horizontal="center"/>
      <protection locked="0"/>
    </xf>
    <xf numFmtId="168" fontId="20" fillId="22" borderId="15" xfId="0" applyNumberFormat="1" applyFont="1" applyFill="1" applyBorder="1" applyAlignment="1" applyProtection="1">
      <alignment horizontal="center"/>
      <protection locked="0"/>
    </xf>
    <xf numFmtId="168" fontId="20" fillId="22" borderId="18" xfId="0" applyNumberFormat="1" applyFont="1" applyFill="1" applyBorder="1" applyAlignment="1" applyProtection="1">
      <alignment horizontal="center"/>
      <protection locked="0"/>
    </xf>
    <xf numFmtId="168" fontId="20" fillId="22" borderId="6" xfId="0" applyNumberFormat="1" applyFont="1" applyFill="1" applyBorder="1" applyAlignment="1" applyProtection="1">
      <alignment horizontal="center"/>
      <protection locked="0"/>
    </xf>
    <xf numFmtId="168" fontId="20" fillId="22" borderId="5" xfId="0" applyNumberFormat="1" applyFont="1" applyFill="1" applyBorder="1" applyAlignment="1" applyProtection="1">
      <alignment horizontal="center"/>
      <protection locked="0"/>
    </xf>
    <xf numFmtId="164" fontId="15" fillId="0" borderId="13" xfId="0" applyFont="1" applyBorder="1" applyProtection="1">
      <protection hidden="1"/>
    </xf>
    <xf numFmtId="168" fontId="20" fillId="22" borderId="13" xfId="0" applyNumberFormat="1" applyFont="1" applyFill="1" applyBorder="1" applyAlignment="1" applyProtection="1">
      <alignment horizontal="left"/>
      <protection locked="0"/>
    </xf>
    <xf numFmtId="168" fontId="20" fillId="22" borderId="11" xfId="0" applyNumberFormat="1" applyFont="1" applyFill="1" applyBorder="1" applyAlignment="1" applyProtection="1">
      <alignment horizontal="left"/>
      <protection locked="0"/>
    </xf>
    <xf numFmtId="168" fontId="20" fillId="22" borderId="12" xfId="0" applyNumberFormat="1" applyFont="1" applyFill="1" applyBorder="1" applyAlignment="1" applyProtection="1">
      <alignment horizontal="left"/>
      <protection locked="0"/>
    </xf>
    <xf numFmtId="7" fontId="15" fillId="18" borderId="0" xfId="0" applyNumberFormat="1" applyFont="1" applyFill="1" applyAlignment="1" applyProtection="1">
      <alignment horizontal="center"/>
      <protection hidden="1"/>
    </xf>
    <xf numFmtId="164" fontId="24" fillId="20" borderId="4" xfId="0" applyFont="1" applyFill="1" applyBorder="1" applyAlignment="1" applyProtection="1">
      <alignment horizontal="center" vertical="top"/>
      <protection hidden="1"/>
    </xf>
    <xf numFmtId="164" fontId="24" fillId="20" borderId="9" xfId="0" applyFont="1" applyFill="1" applyBorder="1" applyAlignment="1" applyProtection="1">
      <alignment horizontal="center" vertical="top"/>
      <protection hidden="1"/>
    </xf>
    <xf numFmtId="0" fontId="24" fillId="20" borderId="4" xfId="0" applyNumberFormat="1" applyFont="1" applyFill="1" applyBorder="1" applyAlignment="1" applyProtection="1">
      <alignment horizontal="center" vertical="top"/>
      <protection hidden="1"/>
    </xf>
    <xf numFmtId="0" fontId="24" fillId="20" borderId="9" xfId="0" applyNumberFormat="1" applyFont="1" applyFill="1" applyBorder="1" applyAlignment="1" applyProtection="1">
      <alignment horizontal="center" vertical="top"/>
      <protection hidden="1"/>
    </xf>
    <xf numFmtId="3" fontId="24" fillId="20" borderId="4" xfId="0" applyNumberFormat="1" applyFont="1" applyFill="1" applyBorder="1" applyAlignment="1" applyProtection="1">
      <alignment horizontal="center" vertical="top"/>
      <protection hidden="1"/>
    </xf>
    <xf numFmtId="3" fontId="24" fillId="20" borderId="9" xfId="0" applyNumberFormat="1" applyFont="1" applyFill="1" applyBorder="1" applyAlignment="1" applyProtection="1">
      <alignment horizontal="center" vertical="top"/>
      <protection hidden="1"/>
    </xf>
    <xf numFmtId="7" fontId="24" fillId="20" borderId="4" xfId="0" applyNumberFormat="1" applyFont="1" applyFill="1" applyBorder="1" applyAlignment="1" applyProtection="1">
      <alignment horizontal="center" vertical="top"/>
      <protection hidden="1"/>
    </xf>
    <xf numFmtId="7" fontId="24" fillId="20" borderId="9" xfId="0" applyNumberFormat="1" applyFont="1" applyFill="1" applyBorder="1" applyAlignment="1" applyProtection="1">
      <alignment horizontal="center" vertical="top"/>
      <protection hidden="1"/>
    </xf>
    <xf numFmtId="164" fontId="31" fillId="19" borderId="0" xfId="0" applyFont="1" applyFill="1" applyAlignment="1" applyProtection="1">
      <alignment horizontal="center"/>
      <protection hidden="1"/>
    </xf>
    <xf numFmtId="49" fontId="15" fillId="0" borderId="6" xfId="0" applyNumberFormat="1" applyFont="1" applyBorder="1" applyAlignment="1" applyProtection="1">
      <alignment horizontal="center"/>
      <protection hidden="1"/>
    </xf>
    <xf numFmtId="164" fontId="20" fillId="0" borderId="6" xfId="0" applyFont="1" applyBorder="1" applyAlignment="1">
      <alignment horizontal="center"/>
    </xf>
    <xf numFmtId="164" fontId="46" fillId="0" borderId="0" xfId="0" applyFont="1" applyAlignment="1" applyProtection="1">
      <alignment horizontal="right" vertical="top"/>
      <protection hidden="1"/>
    </xf>
    <xf numFmtId="3" fontId="47" fillId="0" borderId="14" xfId="0" applyNumberFormat="1" applyFont="1" applyBorder="1" applyAlignment="1" applyProtection="1">
      <alignment horizontal="center"/>
      <protection hidden="1"/>
    </xf>
    <xf numFmtId="164" fontId="48" fillId="0" borderId="0" xfId="0" applyFont="1" applyAlignment="1" applyProtection="1">
      <alignment horizontal="right"/>
      <protection hidden="1"/>
    </xf>
    <xf numFmtId="7" fontId="48" fillId="0" borderId="0" xfId="0" applyNumberFormat="1" applyFont="1" applyAlignment="1" applyProtection="1">
      <alignment horizontal="center"/>
      <protection hidden="1"/>
    </xf>
    <xf numFmtId="7" fontId="48" fillId="18" borderId="0" xfId="0" applyNumberFormat="1" applyFont="1" applyFill="1" applyAlignment="1" applyProtection="1">
      <alignment horizontal="center"/>
      <protection hidden="1"/>
    </xf>
    <xf numFmtId="4" fontId="24" fillId="0" borderId="0" xfId="0" applyNumberFormat="1" applyFont="1" applyAlignment="1" applyProtection="1">
      <alignment horizontal="center" vertical="top"/>
      <protection hidden="1"/>
    </xf>
    <xf numFmtId="49" fontId="24" fillId="0" borderId="0" xfId="0" applyNumberFormat="1" applyFont="1" applyAlignment="1" applyProtection="1">
      <alignment horizontal="center" vertical="top"/>
      <protection hidden="1"/>
    </xf>
    <xf numFmtId="164" fontId="24" fillId="0" borderId="0" xfId="0" applyFont="1" applyAlignment="1" applyProtection="1">
      <alignment horizontal="center"/>
      <protection hidden="1"/>
    </xf>
    <xf numFmtId="164" fontId="17" fillId="0" borderId="0" xfId="0" applyFont="1" applyProtection="1">
      <protection hidden="1"/>
    </xf>
    <xf numFmtId="2" fontId="13" fillId="0" borderId="0" xfId="0" applyNumberFormat="1" applyFont="1" applyProtection="1">
      <protection hidden="1"/>
    </xf>
    <xf numFmtId="3" fontId="13" fillId="0" borderId="0" xfId="0" applyNumberFormat="1" applyFont="1" applyAlignment="1" applyProtection="1">
      <alignment horizontal="center"/>
      <protection hidden="1"/>
    </xf>
    <xf numFmtId="4" fontId="13" fillId="0" borderId="0" xfId="0" applyNumberFormat="1" applyFont="1" applyAlignment="1" applyProtection="1">
      <alignment horizontal="center"/>
      <protection hidden="1"/>
    </xf>
    <xf numFmtId="4" fontId="13" fillId="0" borderId="0" xfId="0" applyNumberFormat="1" applyFont="1" applyProtection="1">
      <protection hidden="1"/>
    </xf>
    <xf numFmtId="3" fontId="13" fillId="0" borderId="0" xfId="0" applyNumberFormat="1" applyFont="1" applyProtection="1">
      <protection hidden="1"/>
    </xf>
    <xf numFmtId="168" fontId="13" fillId="8" borderId="9" xfId="0" applyNumberFormat="1" applyFont="1" applyFill="1" applyBorder="1" applyProtection="1">
      <protection hidden="1"/>
    </xf>
    <xf numFmtId="14" fontId="24" fillId="0" borderId="0" xfId="0" applyNumberFormat="1" applyFont="1" applyAlignment="1" applyProtection="1">
      <alignment horizontal="center" vertical="top"/>
      <protection hidden="1"/>
    </xf>
    <xf numFmtId="14" fontId="24" fillId="22" borderId="3" xfId="0" applyNumberFormat="1" applyFont="1" applyFill="1" applyBorder="1" applyAlignment="1" applyProtection="1">
      <alignment horizontal="center" vertical="top"/>
      <protection locked="0"/>
    </xf>
    <xf numFmtId="164" fontId="15" fillId="0" borderId="11" xfId="0" applyFont="1" applyBorder="1" applyAlignment="1" applyProtection="1">
      <alignment horizontal="center"/>
      <protection hidden="1"/>
    </xf>
    <xf numFmtId="164" fontId="15" fillId="0" borderId="0" xfId="0" applyFont="1" applyAlignment="1" applyProtection="1">
      <alignment horizontal="center"/>
      <protection hidden="1"/>
    </xf>
    <xf numFmtId="164" fontId="31" fillId="19" borderId="0" xfId="0" applyFont="1" applyFill="1" applyAlignment="1" applyProtection="1">
      <alignment horizontal="center"/>
      <protection hidden="1"/>
    </xf>
    <xf numFmtId="164" fontId="35" fillId="0" borderId="0" xfId="0" applyFont="1" applyAlignment="1" applyProtection="1">
      <alignment horizontal="right"/>
      <protection hidden="1"/>
    </xf>
    <xf numFmtId="164" fontId="24" fillId="0" borderId="0" xfId="0" applyFont="1" applyAlignment="1" applyProtection="1">
      <alignment horizontal="center" vertical="top"/>
      <protection hidden="1"/>
    </xf>
    <xf numFmtId="164" fontId="29" fillId="19" borderId="0" xfId="0" applyFont="1" applyFill="1" applyAlignment="1" applyProtection="1">
      <alignment horizontal="center" vertical="top"/>
      <protection hidden="1"/>
    </xf>
    <xf numFmtId="164" fontId="30" fillId="19" borderId="0" xfId="0" applyFont="1" applyFill="1" applyAlignment="1" applyProtection="1">
      <alignment horizontal="center" vertical="top"/>
      <protection hidden="1"/>
    </xf>
    <xf numFmtId="164" fontId="30" fillId="19" borderId="26" xfId="0" applyFont="1" applyFill="1" applyBorder="1" applyAlignment="1" applyProtection="1">
      <alignment horizontal="center" vertical="top"/>
      <protection hidden="1"/>
    </xf>
    <xf numFmtId="164" fontId="30" fillId="19" borderId="32" xfId="0" applyFont="1" applyFill="1" applyBorder="1" applyAlignment="1" applyProtection="1">
      <alignment horizontal="center" vertical="top"/>
      <protection hidden="1"/>
    </xf>
    <xf numFmtId="164" fontId="15" fillId="18" borderId="4" xfId="0" applyFont="1" applyFill="1" applyBorder="1" applyProtection="1">
      <protection hidden="1"/>
    </xf>
    <xf numFmtId="164" fontId="15" fillId="18" borderId="2" xfId="0" applyFont="1" applyFill="1" applyBorder="1" applyProtection="1">
      <protection hidden="1"/>
    </xf>
    <xf numFmtId="164" fontId="15" fillId="18" borderId="9" xfId="0" applyFont="1" applyFill="1" applyBorder="1" applyProtection="1">
      <protection hidden="1"/>
    </xf>
    <xf numFmtId="164" fontId="32" fillId="19" borderId="0" xfId="0" applyFont="1" applyFill="1" applyAlignment="1" applyProtection="1">
      <alignment horizontal="center"/>
      <protection hidden="1"/>
    </xf>
    <xf numFmtId="164" fontId="14" fillId="0" borderId="0" xfId="0" applyFont="1" applyAlignment="1" applyProtection="1">
      <alignment horizontal="center"/>
      <protection hidden="1"/>
    </xf>
    <xf numFmtId="164" fontId="15" fillId="0" borderId="6" xfId="0" applyFont="1" applyBorder="1" applyAlignment="1" applyProtection="1">
      <alignment horizontal="left"/>
      <protection hidden="1"/>
    </xf>
    <xf numFmtId="164" fontId="15" fillId="0" borderId="5" xfId="0" applyFont="1" applyBorder="1" applyAlignment="1" applyProtection="1">
      <alignment horizontal="left"/>
      <protection hidden="1"/>
    </xf>
    <xf numFmtId="164" fontId="20" fillId="0" borderId="4" xfId="0" applyFont="1" applyBorder="1" applyAlignment="1" applyProtection="1">
      <alignment horizontal="left"/>
      <protection hidden="1"/>
    </xf>
    <xf numFmtId="164" fontId="20" fillId="0" borderId="2" xfId="0" applyFont="1" applyBorder="1" applyAlignment="1" applyProtection="1">
      <alignment horizontal="left"/>
      <protection hidden="1"/>
    </xf>
    <xf numFmtId="164" fontId="20" fillId="0" borderId="9" xfId="0" applyFont="1" applyBorder="1" applyAlignment="1" applyProtection="1">
      <alignment horizontal="left"/>
      <protection hidden="1"/>
    </xf>
    <xf numFmtId="164" fontId="20" fillId="0" borderId="13" xfId="0" applyFont="1" applyBorder="1" applyAlignment="1" applyProtection="1">
      <alignment horizontal="left"/>
      <protection hidden="1"/>
    </xf>
    <xf numFmtId="164" fontId="20" fillId="0" borderId="14" xfId="0" applyFont="1" applyBorder="1" applyAlignment="1" applyProtection="1">
      <alignment horizontal="left"/>
      <protection hidden="1"/>
    </xf>
    <xf numFmtId="164" fontId="20" fillId="0" borderId="15" xfId="0" applyFont="1" applyBorder="1" applyAlignment="1" applyProtection="1">
      <alignment horizontal="left"/>
      <protection hidden="1"/>
    </xf>
    <xf numFmtId="164" fontId="20" fillId="0" borderId="11" xfId="0" applyFont="1" applyBorder="1" applyAlignment="1" applyProtection="1">
      <alignment horizontal="left"/>
      <protection hidden="1"/>
    </xf>
    <xf numFmtId="164" fontId="20" fillId="0" borderId="0" xfId="0" applyFont="1" applyAlignment="1" applyProtection="1">
      <alignment horizontal="left"/>
      <protection hidden="1"/>
    </xf>
    <xf numFmtId="164" fontId="20" fillId="0" borderId="18" xfId="0" applyFont="1" applyBorder="1" applyAlignment="1" applyProtection="1">
      <alignment horizontal="left"/>
      <protection hidden="1"/>
    </xf>
    <xf numFmtId="164" fontId="20" fillId="0" borderId="12" xfId="0" applyFont="1" applyBorder="1" applyAlignment="1" applyProtection="1">
      <alignment horizontal="left"/>
      <protection hidden="1"/>
    </xf>
    <xf numFmtId="164" fontId="20" fillId="0" borderId="6" xfId="0" applyFont="1" applyBorder="1" applyAlignment="1" applyProtection="1">
      <alignment horizontal="left"/>
      <protection hidden="1"/>
    </xf>
    <xf numFmtId="164" fontId="20" fillId="0" borderId="5" xfId="0" applyFont="1" applyBorder="1" applyAlignment="1" applyProtection="1">
      <alignment horizontal="left"/>
      <protection hidden="1"/>
    </xf>
    <xf numFmtId="164" fontId="20" fillId="0" borderId="6" xfId="0" applyFont="1" applyBorder="1" applyProtection="1">
      <protection hidden="1"/>
    </xf>
    <xf numFmtId="164" fontId="20" fillId="0" borderId="5" xfId="0" applyFont="1" applyBorder="1" applyProtection="1">
      <protection hidden="1"/>
    </xf>
    <xf numFmtId="168" fontId="15" fillId="20" borderId="4" xfId="0" applyNumberFormat="1" applyFont="1" applyFill="1" applyBorder="1" applyAlignment="1" applyProtection="1">
      <alignment horizontal="center"/>
      <protection hidden="1"/>
    </xf>
    <xf numFmtId="168" fontId="15" fillId="20" borderId="9" xfId="0" applyNumberFormat="1" applyFont="1" applyFill="1" applyBorder="1" applyAlignment="1" applyProtection="1">
      <alignment horizontal="center"/>
      <protection hidden="1"/>
    </xf>
    <xf numFmtId="164" fontId="15" fillId="0" borderId="6" xfId="0" applyFont="1" applyBorder="1" applyAlignment="1" applyProtection="1">
      <alignment horizontal="center" vertical="center"/>
      <protection hidden="1"/>
    </xf>
    <xf numFmtId="164" fontId="20" fillId="20" borderId="4" xfId="0" applyFont="1" applyFill="1" applyBorder="1" applyAlignment="1" applyProtection="1">
      <alignment horizontal="center"/>
      <protection hidden="1"/>
    </xf>
    <xf numFmtId="164" fontId="20" fillId="20" borderId="9" xfId="0" applyFont="1" applyFill="1" applyBorder="1" applyAlignment="1" applyProtection="1">
      <alignment horizontal="center"/>
      <protection hidden="1"/>
    </xf>
    <xf numFmtId="164" fontId="15" fillId="0" borderId="0" xfId="0" applyFont="1" applyAlignment="1" applyProtection="1">
      <alignment horizontal="right"/>
      <protection hidden="1"/>
    </xf>
    <xf numFmtId="164" fontId="20" fillId="0" borderId="0" xfId="0" applyFont="1" applyAlignment="1" applyProtection="1">
      <alignment horizontal="center"/>
      <protection hidden="1"/>
    </xf>
    <xf numFmtId="164" fontId="15" fillId="0" borderId="0" xfId="0" applyFont="1" applyAlignment="1">
      <alignment horizontal="left" wrapText="1"/>
    </xf>
    <xf numFmtId="164" fontId="33" fillId="19" borderId="0" xfId="0" applyFont="1" applyFill="1" applyAlignment="1">
      <alignment horizontal="center"/>
    </xf>
  </cellXfs>
  <cellStyles count="12">
    <cellStyle name="Comma" xfId="1" builtinId="3"/>
    <cellStyle name="Currency" xfId="2" builtinId="4"/>
    <cellStyle name="Grey" xfId="3" xr:uid="{00000000-0005-0000-0000-000002000000}"/>
    <cellStyle name="Grey 2" xfId="4" xr:uid="{00000000-0005-0000-0000-000003000000}"/>
    <cellStyle name="Header1" xfId="5" xr:uid="{00000000-0005-0000-0000-000004000000}"/>
    <cellStyle name="Header2" xfId="6" xr:uid="{00000000-0005-0000-0000-000005000000}"/>
    <cellStyle name="Input [yellow]" xfId="7" xr:uid="{00000000-0005-0000-0000-000006000000}"/>
    <cellStyle name="Input [yellow] 2" xfId="8" xr:uid="{00000000-0005-0000-0000-000007000000}"/>
    <cellStyle name="Normal" xfId="0" builtinId="0"/>
    <cellStyle name="Normal - Style1" xfId="9" xr:uid="{00000000-0005-0000-0000-000009000000}"/>
    <cellStyle name="Percent" xfId="11" builtinId="5"/>
    <cellStyle name="Percent [2]" xfId="10" xr:uid="{00000000-0005-0000-0000-00000A000000}"/>
  </cellStyles>
  <dxfs count="0"/>
  <tableStyles count="0" defaultTableStyle="TableStyleMedium9" defaultPivotStyle="PivotStyleLight16"/>
  <colors>
    <mruColors>
      <color rgb="FFA0E6F2"/>
      <color rgb="FFC0C0C0"/>
      <color rgb="FFFFEEBD"/>
      <color rgb="FF0A0C4A"/>
      <color rgb="FF009999"/>
      <color rgb="FFFFF3D1"/>
      <color rgb="FF474747"/>
      <color rgb="FFFFE497"/>
      <color rgb="FFFFC11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8.25" x14ac:dyDescent="0.15"/>
  <sheetData/>
  <phoneticPr fontId="2"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C6DD-71FD-4186-8DA9-1C538356A853}">
  <dimension ref="A1:N37"/>
  <sheetViews>
    <sheetView showGridLines="0" zoomScaleNormal="100" workbookViewId="0">
      <selection activeCell="I6" sqref="I6"/>
    </sheetView>
  </sheetViews>
  <sheetFormatPr defaultColWidth="10" defaultRowHeight="15" customHeight="1" x14ac:dyDescent="0.35"/>
  <cols>
    <col min="1" max="1" width="35.59765625" style="19" customWidth="1"/>
    <col min="2" max="2" width="53.796875" style="19" customWidth="1"/>
    <col min="3" max="3" width="6.59765625" style="19" customWidth="1"/>
    <col min="4" max="4" width="14.59765625" style="19" hidden="1" customWidth="1"/>
    <col min="5" max="5" width="28" style="19" hidden="1" customWidth="1"/>
    <col min="6" max="6" width="24.3984375" style="19" customWidth="1"/>
    <col min="7" max="7" width="17.796875" style="19" customWidth="1"/>
    <col min="8" max="9" width="20.19921875" style="19" customWidth="1"/>
    <col min="10" max="10" width="20" style="19" customWidth="1"/>
    <col min="11" max="11" width="25" style="19" customWidth="1"/>
    <col min="12" max="207" width="10" style="19"/>
    <col min="208" max="208" width="2" style="19" customWidth="1"/>
    <col min="209" max="16384" width="10" style="19"/>
  </cols>
  <sheetData>
    <row r="1" spans="1:11" ht="30.75" customHeight="1" x14ac:dyDescent="0.45">
      <c r="A1" s="332" t="s">
        <v>161</v>
      </c>
      <c r="B1" s="332"/>
      <c r="C1" s="332"/>
      <c r="D1" s="332"/>
      <c r="E1" s="332"/>
      <c r="F1" s="332"/>
      <c r="G1" s="332"/>
      <c r="H1" s="332"/>
      <c r="I1" s="332"/>
      <c r="J1" s="332"/>
      <c r="K1" s="332"/>
    </row>
    <row r="2" spans="1:11" ht="15" customHeight="1" x14ac:dyDescent="0.35">
      <c r="A2" s="342" t="s">
        <v>154</v>
      </c>
      <c r="B2" s="342"/>
      <c r="C2" s="342"/>
      <c r="D2" s="342"/>
      <c r="E2" s="342"/>
      <c r="F2" s="342"/>
      <c r="G2" s="342"/>
      <c r="H2" s="342"/>
      <c r="I2" s="342"/>
      <c r="J2" s="342"/>
      <c r="K2" s="342"/>
    </row>
    <row r="3" spans="1:11" ht="15" customHeight="1" x14ac:dyDescent="0.35">
      <c r="A3" s="13" t="s">
        <v>22</v>
      </c>
      <c r="B3" s="5"/>
      <c r="C3" s="7"/>
      <c r="F3" s="13" t="s">
        <v>18</v>
      </c>
      <c r="G3" s="40"/>
      <c r="I3" s="7" t="s">
        <v>103</v>
      </c>
      <c r="K3" s="7" t="s">
        <v>104</v>
      </c>
    </row>
    <row r="4" spans="1:11" ht="15" customHeight="1" x14ac:dyDescent="0.35">
      <c r="A4" s="14">
        <f>'Budget Plan '!A4</f>
        <v>0</v>
      </c>
      <c r="B4" s="17"/>
      <c r="C4" s="5"/>
      <c r="F4" s="16">
        <f>'Budget Plan '!C4</f>
        <v>0</v>
      </c>
      <c r="G4" s="16"/>
      <c r="I4" s="17">
        <f>'Budget Plan '!F4</f>
        <v>0</v>
      </c>
      <c r="K4" s="18">
        <f>'Budget Plan '!H4</f>
        <v>0</v>
      </c>
    </row>
    <row r="6" spans="1:11" ht="15" customHeight="1" x14ac:dyDescent="0.35">
      <c r="D6" s="7"/>
      <c r="F6" s="365" t="s">
        <v>5</v>
      </c>
      <c r="G6" s="365"/>
      <c r="H6" s="365"/>
      <c r="I6" s="186"/>
    </row>
    <row r="7" spans="1:11" ht="15" customHeight="1" x14ac:dyDescent="0.35">
      <c r="A7" s="14" t="s">
        <v>180</v>
      </c>
      <c r="B7" s="203"/>
      <c r="C7" s="43"/>
      <c r="D7" s="44"/>
      <c r="E7" s="5" t="s">
        <v>11</v>
      </c>
      <c r="F7" s="5" t="s">
        <v>9</v>
      </c>
      <c r="G7" s="5" t="s">
        <v>13</v>
      </c>
      <c r="H7" s="5" t="s">
        <v>4</v>
      </c>
      <c r="I7" s="5" t="s">
        <v>13</v>
      </c>
      <c r="J7" s="5" t="s">
        <v>14</v>
      </c>
      <c r="K7" s="5" t="s">
        <v>15</v>
      </c>
    </row>
    <row r="8" spans="1:11" ht="15" customHeight="1" x14ac:dyDescent="0.35">
      <c r="A8" s="45" t="s">
        <v>257</v>
      </c>
      <c r="B8" s="45"/>
      <c r="C8" s="45"/>
      <c r="E8" s="46">
        <v>17.52</v>
      </c>
      <c r="F8" s="187"/>
      <c r="G8" s="182"/>
      <c r="H8" s="188">
        <v>1</v>
      </c>
      <c r="I8" s="147">
        <f>ROUND(((F8*(I6/12))/(H8))+(((G8))/(H8)),1)</f>
        <v>0</v>
      </c>
      <c r="J8" s="156">
        <f>(E8*F8)/(H8)</f>
        <v>0</v>
      </c>
      <c r="K8" s="148">
        <f>ROUND((E8*G8)/(H8),2)</f>
        <v>0</v>
      </c>
    </row>
    <row r="9" spans="1:11" ht="15" customHeight="1" x14ac:dyDescent="0.35">
      <c r="A9" s="45" t="s">
        <v>257</v>
      </c>
      <c r="B9" s="45"/>
      <c r="C9" s="45"/>
      <c r="E9" s="46">
        <v>17.52</v>
      </c>
      <c r="F9" s="189"/>
      <c r="G9" s="182"/>
      <c r="H9" s="188">
        <v>2</v>
      </c>
      <c r="I9" s="147">
        <f>ROUND(((F9*(I6/12))/(H9))+(((G9))/(H9)),1)</f>
        <v>0</v>
      </c>
      <c r="J9" s="156">
        <f>(E9*F9)/(H9)</f>
        <v>0</v>
      </c>
      <c r="K9" s="148">
        <f>ROUND((E9*G9)/(H9),2)</f>
        <v>0</v>
      </c>
    </row>
    <row r="10" spans="1:11" ht="15" customHeight="1" x14ac:dyDescent="0.35">
      <c r="A10" s="45" t="s">
        <v>257</v>
      </c>
      <c r="B10" s="45"/>
      <c r="C10" s="45"/>
      <c r="E10" s="46">
        <v>17.52</v>
      </c>
      <c r="F10" s="184"/>
      <c r="G10" s="182"/>
      <c r="H10" s="188">
        <v>3</v>
      </c>
      <c r="I10" s="147">
        <f>ROUND(((F10*(I6/12))/(H10))+(((G10))/(H10)),1)</f>
        <v>0</v>
      </c>
      <c r="J10" s="156">
        <f>(E10*F10)/(H10)</f>
        <v>0</v>
      </c>
      <c r="K10" s="148">
        <f>ROUND((E10*G10)/(H10),2)</f>
        <v>0</v>
      </c>
    </row>
    <row r="11" spans="1:11" ht="15" customHeight="1" x14ac:dyDescent="0.35">
      <c r="A11" s="45" t="s">
        <v>257</v>
      </c>
      <c r="B11" s="45"/>
      <c r="C11" s="45"/>
      <c r="E11" s="48">
        <v>17.52</v>
      </c>
      <c r="F11" s="190"/>
      <c r="G11" s="182"/>
      <c r="H11" s="188">
        <v>4</v>
      </c>
      <c r="I11" s="147">
        <f>ROUND(((F11*(I6/12))/(H11))+(((G11))/(H11)),1)</f>
        <v>0</v>
      </c>
      <c r="J11" s="157">
        <f>(E11*F11)/(H11)</f>
        <v>0</v>
      </c>
      <c r="K11" s="148">
        <f>ROUND((E11*G11)/(H11),2)</f>
        <v>0</v>
      </c>
    </row>
    <row r="12" spans="1:11" ht="15" customHeight="1" x14ac:dyDescent="0.35">
      <c r="D12" s="49"/>
      <c r="E12" s="211" t="s">
        <v>100</v>
      </c>
      <c r="F12" s="212">
        <f>SUM(F8:F11)</f>
        <v>0</v>
      </c>
      <c r="G12" s="215" t="s">
        <v>101</v>
      </c>
      <c r="H12" s="216"/>
      <c r="I12" s="213">
        <f>SUM(I8:I11)</f>
        <v>0</v>
      </c>
      <c r="J12" s="160">
        <f>SUM(J8:J11)</f>
        <v>0</v>
      </c>
      <c r="K12" s="160">
        <f>SUM(K8:K11)</f>
        <v>0</v>
      </c>
    </row>
    <row r="13" spans="1:11" ht="15" customHeight="1" x14ac:dyDescent="0.35">
      <c r="G13" s="52" t="s">
        <v>93</v>
      </c>
      <c r="H13" s="158">
        <f>IFERROR(ROUND(+I12*12/I6,2),0)</f>
        <v>0</v>
      </c>
      <c r="I13" s="53"/>
      <c r="J13" s="44"/>
      <c r="K13" s="51"/>
    </row>
    <row r="14" spans="1:11" ht="15" customHeight="1" x14ac:dyDescent="0.35">
      <c r="E14" s="52"/>
      <c r="F14" s="53"/>
      <c r="G14" s="5"/>
      <c r="H14" s="5"/>
      <c r="I14" s="53"/>
      <c r="J14" s="44"/>
      <c r="K14" s="51"/>
    </row>
    <row r="15" spans="1:11" ht="15" customHeight="1" x14ac:dyDescent="0.35">
      <c r="A15" s="56"/>
      <c r="B15" s="56"/>
      <c r="C15" s="56"/>
      <c r="D15" s="54"/>
      <c r="H15" s="55"/>
      <c r="J15" s="288" t="s">
        <v>59</v>
      </c>
      <c r="K15" s="152">
        <f>IFERROR((($K$12*12/$I$6)+J12)*0.335+6.84,0)</f>
        <v>0</v>
      </c>
    </row>
    <row r="16" spans="1:11" ht="15" customHeight="1" x14ac:dyDescent="0.35">
      <c r="H16" s="5"/>
      <c r="I16" s="5" t="s">
        <v>168</v>
      </c>
      <c r="J16" s="51"/>
    </row>
    <row r="17" spans="1:14" ht="15" hidden="1" customHeight="1" thickBot="1" x14ac:dyDescent="0.4">
      <c r="I17" s="57"/>
      <c r="J17" s="214" t="e">
        <f>ROUND(ROUND(ROUND(ROUND(ROUND(ROUND(IF(ROUND(((K15+J12+($K$12*12/I6))*1.0288),2)&gt;151.41,151.41,ROUND(((K15+J12+($K$12*12/I6))*1.0288),2))*1.008,2)*1.105,2)*1.0018,2)*1.08,2)*1.03,2)*1.021,2)</f>
        <v>#DIV/0!</v>
      </c>
    </row>
    <row r="18" spans="1:14" ht="15" customHeight="1" x14ac:dyDescent="0.35">
      <c r="I18" s="52" t="s">
        <v>31</v>
      </c>
      <c r="J18" s="152">
        <f>IFERROR(ROUND(ROUND(ROUND(ROUND(ROUND(J17*1.0096,2)*1.005772,2)*'rate increase'!C2,2)*'rate increase'!C3,2)*'rate increase'!C6,2),0)</f>
        <v>0</v>
      </c>
    </row>
    <row r="19" spans="1:14" ht="15" customHeight="1" x14ac:dyDescent="0.35">
      <c r="D19" s="58"/>
      <c r="J19" s="52" t="s">
        <v>25</v>
      </c>
      <c r="K19" s="175">
        <f>SUM(ROUND((J18*(I6)/12),2))</f>
        <v>0</v>
      </c>
    </row>
    <row r="20" spans="1:14" ht="15" customHeight="1" x14ac:dyDescent="0.35">
      <c r="D20" s="58"/>
      <c r="J20" s="52" t="s">
        <v>24</v>
      </c>
      <c r="K20" s="175">
        <f>ROUND((J18*I6),2)</f>
        <v>0</v>
      </c>
    </row>
    <row r="21" spans="1:14" ht="15" customHeight="1" x14ac:dyDescent="0.35">
      <c r="A21" s="22"/>
      <c r="B21" s="2"/>
      <c r="C21" s="8"/>
      <c r="D21" s="22"/>
      <c r="E21" s="23"/>
      <c r="F21" s="23"/>
      <c r="G21" s="23"/>
      <c r="H21" s="23"/>
      <c r="I21" s="24"/>
      <c r="J21" s="5"/>
      <c r="K21" s="59"/>
    </row>
    <row r="22" spans="1:14" ht="15" customHeight="1" x14ac:dyDescent="0.35">
      <c r="A22" s="1" t="str">
        <f>'Budget Plan '!A24</f>
        <v>Revised 7/1/2025</v>
      </c>
      <c r="B22" s="60"/>
      <c r="C22" s="26"/>
      <c r="D22" s="22"/>
      <c r="E22" s="27"/>
      <c r="F22" s="23"/>
      <c r="G22" s="23"/>
      <c r="H22" s="23"/>
      <c r="I22" s="22"/>
    </row>
    <row r="23" spans="1:14" ht="15" customHeight="1" x14ac:dyDescent="0.35">
      <c r="A23" s="3" t="s">
        <v>43</v>
      </c>
      <c r="B23" s="8"/>
      <c r="C23" s="28"/>
      <c r="D23" s="22"/>
      <c r="E23" s="24"/>
      <c r="F23" s="22"/>
      <c r="G23" s="24"/>
      <c r="H23" s="61"/>
      <c r="I23" s="24"/>
    </row>
    <row r="24" spans="1:14" ht="15" customHeight="1" x14ac:dyDescent="0.35">
      <c r="A24" s="3" t="s">
        <v>6</v>
      </c>
    </row>
    <row r="25" spans="1:14" ht="15" customHeight="1" x14ac:dyDescent="0.35">
      <c r="A25" s="5"/>
      <c r="B25" s="5"/>
      <c r="C25" s="5"/>
      <c r="D25" s="5"/>
      <c r="E25" s="5"/>
      <c r="F25" s="5"/>
      <c r="G25" s="5"/>
      <c r="H25" s="5"/>
      <c r="I25" s="5"/>
      <c r="J25" s="5"/>
      <c r="K25" s="5"/>
      <c r="L25" s="7"/>
      <c r="M25" s="7"/>
      <c r="N25" s="7"/>
    </row>
    <row r="26" spans="1:14" ht="15" customHeight="1" x14ac:dyDescent="0.35">
      <c r="A26" s="62"/>
      <c r="B26" s="30"/>
      <c r="C26" s="30"/>
      <c r="D26" s="31"/>
      <c r="E26" s="32"/>
      <c r="F26" s="32"/>
      <c r="G26" s="31"/>
      <c r="H26" s="31"/>
      <c r="I26" s="34"/>
      <c r="J26" s="34"/>
      <c r="K26" s="8"/>
    </row>
    <row r="27" spans="1:14" ht="15" customHeight="1" x14ac:dyDescent="0.35">
      <c r="A27" s="30"/>
      <c r="B27" s="30"/>
      <c r="C27" s="30"/>
      <c r="D27" s="31"/>
      <c r="E27" s="32"/>
      <c r="F27" s="32"/>
      <c r="G27" s="31"/>
      <c r="H27" s="31"/>
      <c r="I27" s="34"/>
      <c r="J27" s="34"/>
      <c r="K27" s="8"/>
    </row>
    <row r="28" spans="1:14" ht="15" customHeight="1" x14ac:dyDescent="0.35">
      <c r="A28" s="30"/>
      <c r="B28" s="30"/>
      <c r="C28" s="30"/>
      <c r="D28" s="31"/>
      <c r="E28" s="32"/>
      <c r="F28" s="32"/>
      <c r="G28" s="31"/>
      <c r="H28" s="31"/>
      <c r="I28" s="34"/>
      <c r="J28" s="34"/>
      <c r="K28" s="8"/>
    </row>
    <row r="29" spans="1:14" ht="15" customHeight="1" x14ac:dyDescent="0.35">
      <c r="A29" s="30"/>
      <c r="B29" s="30"/>
      <c r="C29" s="30"/>
      <c r="D29" s="31"/>
      <c r="E29" s="32"/>
      <c r="F29" s="32"/>
      <c r="G29" s="31"/>
      <c r="H29" s="31"/>
      <c r="I29" s="34"/>
      <c r="J29" s="34"/>
      <c r="K29" s="8"/>
    </row>
    <row r="30" spans="1:14" ht="15" customHeight="1" x14ac:dyDescent="0.35">
      <c r="A30" s="30"/>
      <c r="B30" s="30"/>
      <c r="C30" s="30"/>
      <c r="D30" s="31"/>
      <c r="E30" s="32"/>
      <c r="F30" s="32"/>
      <c r="G30" s="31"/>
      <c r="H30" s="31"/>
      <c r="I30" s="34"/>
      <c r="J30" s="34"/>
      <c r="K30" s="8"/>
    </row>
    <row r="33" spans="1:11" ht="15" customHeight="1" x14ac:dyDescent="0.35">
      <c r="A33" s="13"/>
      <c r="B33" s="52"/>
      <c r="C33" s="5"/>
      <c r="D33" s="7"/>
      <c r="E33" s="7"/>
      <c r="F33" s="52"/>
      <c r="G33" s="5"/>
      <c r="I33" s="7"/>
      <c r="K33" s="5"/>
    </row>
    <row r="34" spans="1:11" ht="15" customHeight="1" x14ac:dyDescent="0.35">
      <c r="B34" s="7"/>
      <c r="C34" s="7"/>
      <c r="D34" s="7"/>
      <c r="E34" s="7"/>
      <c r="F34" s="7"/>
      <c r="G34" s="7"/>
      <c r="H34" s="7"/>
      <c r="I34" s="7"/>
      <c r="J34" s="7"/>
      <c r="K34" s="7"/>
    </row>
    <row r="36" spans="1:11" ht="15" customHeight="1" x14ac:dyDescent="0.35">
      <c r="A36" s="13"/>
      <c r="B36" s="52"/>
      <c r="C36" s="5"/>
    </row>
    <row r="37" spans="1:11" ht="15" customHeight="1" x14ac:dyDescent="0.35">
      <c r="A37" s="13"/>
      <c r="B37" s="7"/>
    </row>
  </sheetData>
  <sheetProtection algorithmName="SHA-512" hashValue="7twjrzKkUJp74CMwwAOSAXHl65y79Z/eucnrHaq2KdS3ifXRgeJYzmnq7R6Vnh+SiBT3T97m9crbl7UJwfRGVg==" saltValue="wpvP76u4yKb++eXz5YYIEQ==" spinCount="100000" sheet="1" selectLockedCells="1"/>
  <mergeCells count="3">
    <mergeCell ref="A1:K1"/>
    <mergeCell ref="A2:K2"/>
    <mergeCell ref="F6:H6"/>
  </mergeCells>
  <pageMargins left="0.7" right="0.7" top="0.75" bottom="0.75" header="0.3" footer="0.3"/>
  <pageSetup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350D-6693-4CE0-855E-F8C4BB390B46}">
  <dimension ref="A1:N37"/>
  <sheetViews>
    <sheetView showGridLines="0" zoomScaleNormal="100" workbookViewId="0">
      <selection activeCell="I6" sqref="I6"/>
    </sheetView>
  </sheetViews>
  <sheetFormatPr defaultColWidth="10" defaultRowHeight="15" customHeight="1" x14ac:dyDescent="0.35"/>
  <cols>
    <col min="1" max="1" width="86.59765625" style="19" customWidth="1"/>
    <col min="2" max="2" width="5" style="19" customWidth="1"/>
    <col min="3" max="3" width="15.796875" style="19" hidden="1" customWidth="1"/>
    <col min="4" max="4" width="33.19921875" style="19" hidden="1" customWidth="1"/>
    <col min="5" max="5" width="47.19921875" style="19" hidden="1" customWidth="1"/>
    <col min="6" max="6" width="21.796875" style="19" customWidth="1"/>
    <col min="7" max="7" width="21.59765625" style="19" customWidth="1"/>
    <col min="8" max="8" width="18.3984375" style="19" customWidth="1"/>
    <col min="9" max="9" width="21" style="19" customWidth="1"/>
    <col min="10" max="10" width="20" style="19" customWidth="1"/>
    <col min="11" max="11" width="25" style="19" customWidth="1"/>
    <col min="12" max="207" width="10" style="19"/>
    <col min="208" max="208" width="2" style="19" customWidth="1"/>
    <col min="209" max="16384" width="10" style="19"/>
  </cols>
  <sheetData>
    <row r="1" spans="1:11" ht="30" customHeight="1" x14ac:dyDescent="0.45">
      <c r="A1" s="332" t="s">
        <v>221</v>
      </c>
      <c r="B1" s="332"/>
      <c r="C1" s="332"/>
      <c r="D1" s="332"/>
      <c r="E1" s="332"/>
      <c r="F1" s="332"/>
      <c r="G1" s="332"/>
      <c r="H1" s="332"/>
      <c r="I1" s="332"/>
      <c r="J1" s="332"/>
      <c r="K1" s="332"/>
    </row>
    <row r="2" spans="1:11" ht="15" customHeight="1" x14ac:dyDescent="0.35">
      <c r="A2" s="342" t="s">
        <v>155</v>
      </c>
      <c r="B2" s="342"/>
      <c r="C2" s="342"/>
      <c r="D2" s="342"/>
      <c r="E2" s="342"/>
      <c r="F2" s="342"/>
      <c r="G2" s="342"/>
      <c r="H2" s="342"/>
      <c r="I2" s="342"/>
      <c r="J2" s="342"/>
      <c r="K2" s="342"/>
    </row>
    <row r="3" spans="1:11" ht="15" customHeight="1" x14ac:dyDescent="0.35">
      <c r="A3" s="13" t="s">
        <v>22</v>
      </c>
      <c r="B3" s="5"/>
      <c r="C3" s="5"/>
      <c r="F3" s="13" t="s">
        <v>18</v>
      </c>
      <c r="G3" s="40"/>
      <c r="I3" s="7" t="s">
        <v>103</v>
      </c>
      <c r="K3" s="7" t="s">
        <v>104</v>
      </c>
    </row>
    <row r="4" spans="1:11" ht="15" customHeight="1" x14ac:dyDescent="0.35">
      <c r="A4" s="14">
        <f>'Budget Plan '!A4</f>
        <v>0</v>
      </c>
      <c r="B4" s="5"/>
      <c r="C4" s="5"/>
      <c r="F4" s="16">
        <f>'Budget Plan '!C4</f>
        <v>0</v>
      </c>
      <c r="G4" s="16"/>
      <c r="I4" s="17">
        <f>'Budget Plan '!F4</f>
        <v>0</v>
      </c>
      <c r="K4" s="18">
        <f>'Budget Plan '!H4</f>
        <v>0</v>
      </c>
    </row>
    <row r="6" spans="1:11" ht="15" customHeight="1" x14ac:dyDescent="0.35">
      <c r="D6" s="7"/>
      <c r="F6" s="365" t="s">
        <v>5</v>
      </c>
      <c r="G6" s="365"/>
      <c r="H6" s="365"/>
      <c r="I6" s="186"/>
      <c r="J6" s="119"/>
      <c r="K6" s="119"/>
    </row>
    <row r="7" spans="1:11" ht="15" customHeight="1" x14ac:dyDescent="0.35">
      <c r="A7" s="14" t="s">
        <v>180</v>
      </c>
      <c r="B7" s="43"/>
      <c r="C7" s="43"/>
      <c r="D7" s="44"/>
      <c r="E7" s="5" t="s">
        <v>11</v>
      </c>
      <c r="F7" s="5" t="s">
        <v>9</v>
      </c>
      <c r="G7" s="5" t="s">
        <v>13</v>
      </c>
      <c r="H7" s="5" t="s">
        <v>4</v>
      </c>
      <c r="I7" s="5" t="s">
        <v>13</v>
      </c>
      <c r="J7" s="5" t="s">
        <v>14</v>
      </c>
      <c r="K7" s="5" t="s">
        <v>15</v>
      </c>
    </row>
    <row r="8" spans="1:11" ht="15" customHeight="1" x14ac:dyDescent="0.35">
      <c r="A8" s="45" t="s">
        <v>257</v>
      </c>
      <c r="B8" s="45"/>
      <c r="C8" s="45"/>
      <c r="E8" s="46">
        <v>17.52</v>
      </c>
      <c r="F8" s="187"/>
      <c r="G8" s="182"/>
      <c r="H8" s="188">
        <v>1</v>
      </c>
      <c r="I8" s="147">
        <f>ROUND(((F8*(I6/12))/(H8))+(((G8))/(H8)),1)</f>
        <v>0</v>
      </c>
      <c r="J8" s="156">
        <f>(E8*F8)/(H8)</f>
        <v>0</v>
      </c>
      <c r="K8" s="148">
        <f>ROUND((E8*G8)/(H8),2)</f>
        <v>0</v>
      </c>
    </row>
    <row r="9" spans="1:11" ht="15" customHeight="1" x14ac:dyDescent="0.35">
      <c r="A9" s="45" t="s">
        <v>257</v>
      </c>
      <c r="B9" s="45"/>
      <c r="C9" s="45"/>
      <c r="E9" s="46">
        <v>17.52</v>
      </c>
      <c r="F9" s="189"/>
      <c r="G9" s="182"/>
      <c r="H9" s="188">
        <v>2</v>
      </c>
      <c r="I9" s="147">
        <f>ROUND(((F9*(I6/12))/(H9))+(((G9))/(H9)),1)</f>
        <v>0</v>
      </c>
      <c r="J9" s="156">
        <f>(E9*F9)/(H9)</f>
        <v>0</v>
      </c>
      <c r="K9" s="148">
        <f>ROUND((E9*G9)/(H9),2)</f>
        <v>0</v>
      </c>
    </row>
    <row r="10" spans="1:11" ht="15" customHeight="1" x14ac:dyDescent="0.35">
      <c r="A10" s="45" t="s">
        <v>257</v>
      </c>
      <c r="B10" s="45"/>
      <c r="C10" s="45"/>
      <c r="E10" s="46">
        <v>17.52</v>
      </c>
      <c r="F10" s="184"/>
      <c r="G10" s="182"/>
      <c r="H10" s="188">
        <v>3</v>
      </c>
      <c r="I10" s="147">
        <f>ROUND(((F10*(I6/12))/(H10))+(((G10))/(H10)),1)</f>
        <v>0</v>
      </c>
      <c r="J10" s="156">
        <f>(E10*F10)/(H10)</f>
        <v>0</v>
      </c>
      <c r="K10" s="148">
        <f>ROUND((E10*G10)/(H10),2)</f>
        <v>0</v>
      </c>
    </row>
    <row r="11" spans="1:11" ht="15" customHeight="1" x14ac:dyDescent="0.35">
      <c r="A11" s="45" t="s">
        <v>257</v>
      </c>
      <c r="B11" s="45"/>
      <c r="C11" s="45"/>
      <c r="E11" s="48">
        <v>17.52</v>
      </c>
      <c r="F11" s="190"/>
      <c r="G11" s="182"/>
      <c r="H11" s="188">
        <v>4</v>
      </c>
      <c r="I11" s="147">
        <f>ROUND(((F11*(I6/12))/(H11))+(((G11))/(H11)),1)</f>
        <v>0</v>
      </c>
      <c r="J11" s="157">
        <f>(E11*F11)/(H11)</f>
        <v>0</v>
      </c>
      <c r="K11" s="148">
        <f>ROUND((E11*G11)/(H11),2)</f>
        <v>0</v>
      </c>
    </row>
    <row r="12" spans="1:11" ht="15" customHeight="1" x14ac:dyDescent="0.35">
      <c r="D12" s="49"/>
      <c r="E12" s="211" t="s">
        <v>100</v>
      </c>
      <c r="F12" s="212">
        <f>SUM(F8:F11)</f>
        <v>0</v>
      </c>
      <c r="G12" s="215" t="s">
        <v>102</v>
      </c>
      <c r="H12" s="221"/>
      <c r="I12" s="192">
        <f>SUM(I8:I11)</f>
        <v>0</v>
      </c>
      <c r="J12" s="153">
        <f>SUM(J8:J11)</f>
        <v>0</v>
      </c>
      <c r="K12" s="222">
        <f>SUM(K8:K11)</f>
        <v>0</v>
      </c>
    </row>
    <row r="13" spans="1:11" ht="15" customHeight="1" x14ac:dyDescent="0.35">
      <c r="G13" s="52" t="s">
        <v>93</v>
      </c>
      <c r="H13" s="220">
        <f>IFERROR(ROUND(+I12*12/I6,2),0)</f>
        <v>0</v>
      </c>
      <c r="I13" s="53"/>
      <c r="J13" s="44"/>
      <c r="K13" s="50"/>
    </row>
    <row r="14" spans="1:11" ht="15" customHeight="1" x14ac:dyDescent="0.35">
      <c r="E14" s="52"/>
      <c r="F14" s="53"/>
      <c r="G14" s="5"/>
      <c r="H14" s="5"/>
      <c r="I14" s="53"/>
      <c r="J14" s="44"/>
      <c r="K14" s="50"/>
    </row>
    <row r="15" spans="1:11" ht="15" customHeight="1" x14ac:dyDescent="0.35">
      <c r="A15" s="56"/>
      <c r="B15" s="56"/>
      <c r="C15" s="56"/>
      <c r="D15" s="54"/>
      <c r="G15" s="83"/>
      <c r="H15" s="84"/>
      <c r="I15" s="87"/>
      <c r="J15" s="85" t="s">
        <v>59</v>
      </c>
      <c r="K15" s="152">
        <f>IFERROR((($K$12*12/$I$6)+J12)*0.335+6.84,0)</f>
        <v>0</v>
      </c>
    </row>
    <row r="16" spans="1:11" ht="15" customHeight="1" x14ac:dyDescent="0.35">
      <c r="H16" s="5"/>
      <c r="I16" s="5" t="s">
        <v>168</v>
      </c>
      <c r="J16" s="51"/>
    </row>
    <row r="17" spans="1:14" ht="15" hidden="1" customHeight="1" thickBot="1" x14ac:dyDescent="0.4">
      <c r="I17" s="57"/>
      <c r="J17" s="223" t="e">
        <f>ROUND(ROUND(ROUND(ROUND(ROUND(ROUND(IF(ROUND(((K15+J12+($K$12*12/I6))*1.0288),2)=6.8,0,ROUND(((K15+J12+($K$12*12/I6))*1.0288),2))*1.008,2)*1.105,2)*1.0018,2)*1.08,2)*1.03,2)*1.021,2)</f>
        <v>#DIV/0!</v>
      </c>
    </row>
    <row r="18" spans="1:14" ht="15" customHeight="1" x14ac:dyDescent="0.35">
      <c r="I18" s="52" t="s">
        <v>31</v>
      </c>
      <c r="J18" s="152">
        <f>IFERROR(ROUND(ROUND(ROUND(ROUND(ROUND(J17*1.0096,2)*1.005772,2)*'rate increase'!C2,2)*'rate increase'!C3,2)*'rate increase'!C6,2),0)</f>
        <v>0</v>
      </c>
    </row>
    <row r="19" spans="1:14" ht="15" customHeight="1" x14ac:dyDescent="0.35">
      <c r="D19" s="58"/>
      <c r="J19" s="52" t="s">
        <v>25</v>
      </c>
      <c r="K19" s="175">
        <f>SUM(ROUND((J18*(I6)/12),2))</f>
        <v>0</v>
      </c>
    </row>
    <row r="20" spans="1:14" ht="15" customHeight="1" x14ac:dyDescent="0.35">
      <c r="D20" s="58"/>
      <c r="J20" s="52" t="s">
        <v>24</v>
      </c>
      <c r="K20" s="175">
        <f>ROUND((J18*I6),2)</f>
        <v>0</v>
      </c>
    </row>
    <row r="21" spans="1:14" ht="15" customHeight="1" x14ac:dyDescent="0.35">
      <c r="A21" s="22"/>
      <c r="B21" s="2"/>
      <c r="C21" s="8"/>
      <c r="D21" s="22"/>
      <c r="E21" s="23"/>
      <c r="F21" s="23"/>
      <c r="G21" s="23"/>
      <c r="H21" s="23"/>
      <c r="I21" s="24"/>
      <c r="J21" s="5"/>
      <c r="K21" s="59"/>
    </row>
    <row r="22" spans="1:14" ht="15" customHeight="1" x14ac:dyDescent="0.35">
      <c r="A22" s="1" t="str">
        <f>'Budget Plan '!A24</f>
        <v>Revised 7/1/2025</v>
      </c>
      <c r="B22" s="60"/>
      <c r="C22" s="26"/>
      <c r="D22" s="22"/>
      <c r="E22" s="27"/>
      <c r="F22" s="23"/>
      <c r="G22" s="23"/>
      <c r="H22" s="23"/>
      <c r="I22" s="22"/>
    </row>
    <row r="23" spans="1:14" ht="15" customHeight="1" x14ac:dyDescent="0.35">
      <c r="A23" s="3" t="s">
        <v>43</v>
      </c>
      <c r="B23" s="8"/>
      <c r="C23" s="28"/>
      <c r="D23" s="22"/>
      <c r="E23" s="24"/>
      <c r="F23" s="22"/>
      <c r="G23" s="24"/>
      <c r="H23" s="61"/>
      <c r="I23" s="24"/>
    </row>
    <row r="24" spans="1:14" ht="15" customHeight="1" x14ac:dyDescent="0.35">
      <c r="A24" s="3" t="s">
        <v>6</v>
      </c>
    </row>
    <row r="25" spans="1:14" ht="15" customHeight="1" x14ac:dyDescent="0.35">
      <c r="A25" s="5"/>
      <c r="B25" s="5"/>
      <c r="C25" s="5"/>
      <c r="D25" s="5"/>
      <c r="E25" s="5"/>
      <c r="F25" s="5"/>
      <c r="G25" s="5"/>
      <c r="H25" s="5"/>
      <c r="I25" s="5"/>
      <c r="J25" s="5"/>
      <c r="K25" s="5"/>
      <c r="L25" s="7"/>
      <c r="M25" s="7"/>
      <c r="N25" s="7"/>
    </row>
    <row r="26" spans="1:14" ht="15" customHeight="1" x14ac:dyDescent="0.35">
      <c r="A26" s="62"/>
      <c r="B26" s="30"/>
      <c r="C26" s="30"/>
      <c r="D26" s="31"/>
      <c r="E26" s="32"/>
      <c r="F26" s="32"/>
      <c r="G26" s="31"/>
      <c r="H26" s="31"/>
      <c r="I26" s="34"/>
      <c r="J26" s="34"/>
      <c r="K26" s="8"/>
    </row>
    <row r="27" spans="1:14" ht="15" customHeight="1" x14ac:dyDescent="0.35">
      <c r="A27" s="30"/>
      <c r="B27" s="30"/>
      <c r="C27" s="30"/>
      <c r="D27" s="31"/>
      <c r="E27" s="32"/>
      <c r="F27" s="32"/>
      <c r="G27" s="31"/>
      <c r="H27" s="31"/>
      <c r="I27" s="34"/>
      <c r="J27" s="34"/>
      <c r="K27" s="8"/>
    </row>
    <row r="28" spans="1:14" ht="15" customHeight="1" x14ac:dyDescent="0.35">
      <c r="A28" s="30"/>
      <c r="B28" s="30"/>
      <c r="C28" s="30"/>
      <c r="D28" s="31"/>
      <c r="E28" s="32"/>
      <c r="F28" s="32"/>
      <c r="G28" s="31"/>
      <c r="H28" s="31"/>
      <c r="I28" s="34"/>
      <c r="J28" s="34"/>
      <c r="K28" s="8"/>
    </row>
    <row r="29" spans="1:14" ht="15" customHeight="1" x14ac:dyDescent="0.35">
      <c r="A29" s="30"/>
      <c r="B29" s="30"/>
      <c r="C29" s="30"/>
      <c r="D29" s="31"/>
      <c r="E29" s="32"/>
      <c r="F29" s="32"/>
      <c r="G29" s="31"/>
      <c r="H29" s="31"/>
      <c r="I29" s="34"/>
      <c r="J29" s="34"/>
      <c r="K29" s="8"/>
    </row>
    <row r="30" spans="1:14" ht="15" customHeight="1" x14ac:dyDescent="0.35">
      <c r="A30" s="30"/>
      <c r="B30" s="30"/>
      <c r="C30" s="30"/>
      <c r="D30" s="31"/>
      <c r="E30" s="32"/>
      <c r="F30" s="32"/>
      <c r="G30" s="31"/>
      <c r="H30" s="31"/>
      <c r="I30" s="34"/>
      <c r="J30" s="34"/>
      <c r="K30" s="8"/>
    </row>
    <row r="33" spans="1:11" ht="15" customHeight="1" x14ac:dyDescent="0.35">
      <c r="A33" s="13"/>
      <c r="B33" s="52"/>
      <c r="C33" s="5"/>
      <c r="D33" s="7"/>
      <c r="E33" s="7"/>
      <c r="F33" s="52"/>
      <c r="G33" s="5"/>
      <c r="I33" s="7"/>
      <c r="K33" s="5"/>
    </row>
    <row r="34" spans="1:11" ht="15" customHeight="1" x14ac:dyDescent="0.35">
      <c r="B34" s="7"/>
      <c r="C34" s="7"/>
      <c r="D34" s="7"/>
      <c r="E34" s="7"/>
      <c r="F34" s="7"/>
      <c r="G34" s="7"/>
      <c r="H34" s="7"/>
      <c r="I34" s="7"/>
      <c r="J34" s="7"/>
      <c r="K34" s="7"/>
    </row>
    <row r="36" spans="1:11" ht="15" customHeight="1" x14ac:dyDescent="0.35">
      <c r="A36" s="13"/>
      <c r="B36" s="52"/>
      <c r="C36" s="5"/>
    </row>
    <row r="37" spans="1:11" ht="15" customHeight="1" x14ac:dyDescent="0.35">
      <c r="A37" s="13"/>
      <c r="B37" s="7"/>
    </row>
  </sheetData>
  <sheetProtection algorithmName="SHA-512" hashValue="5T5L+I86nMYY10BAckao56E3/MvG1d9T6ADaMOT/Nksa8A+R2ph4oIyL3l00an3CFvlr+vB6lOk9hwAyjQ3wDg==" saltValue="MzFYdvZht3cWbqY0fDF+9g==" spinCount="100000" sheet="1" selectLockedCells="1"/>
  <mergeCells count="3">
    <mergeCell ref="A1:K1"/>
    <mergeCell ref="A2:K2"/>
    <mergeCell ref="F6:H6"/>
  </mergeCells>
  <pageMargins left="0.7" right="0.7" top="0.75" bottom="0.75" header="0.3" footer="0.3"/>
  <pageSetup orientation="landscape" r:id="rId1"/>
  <rowBreaks count="1" manualBreakCount="1">
    <brk id="26" max="1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6721B-3F0A-4CBF-9EF8-B7457EDE9F7B}">
  <dimension ref="A1:N33"/>
  <sheetViews>
    <sheetView showGridLines="0" tabSelected="1" topLeftCell="A2" zoomScaleNormal="100" workbookViewId="0">
      <selection activeCell="H10" sqref="H10"/>
    </sheetView>
  </sheetViews>
  <sheetFormatPr defaultColWidth="10" defaultRowHeight="15" customHeight="1" x14ac:dyDescent="0.35"/>
  <cols>
    <col min="1" max="1" width="24.796875" style="19" customWidth="1"/>
    <col min="2" max="2" width="62.3984375" style="19" customWidth="1"/>
    <col min="3" max="3" width="7.3984375" style="19" customWidth="1"/>
    <col min="4" max="4" width="14.59765625" style="19" hidden="1" customWidth="1"/>
    <col min="5" max="5" width="28" style="19" hidden="1" customWidth="1"/>
    <col min="6" max="6" width="33.3984375" style="19" customWidth="1"/>
    <col min="7" max="7" width="18.19921875" style="19" customWidth="1"/>
    <col min="8" max="8" width="21.59765625" style="19" customWidth="1"/>
    <col min="9" max="9" width="20.3984375" style="19" customWidth="1"/>
    <col min="10" max="10" width="18.19921875" style="19" customWidth="1"/>
    <col min="11" max="11" width="20.3984375" style="19" customWidth="1"/>
    <col min="12" max="207" width="10" style="19"/>
    <col min="208" max="208" width="2" style="19" customWidth="1"/>
    <col min="209" max="16384" width="10" style="19"/>
  </cols>
  <sheetData>
    <row r="1" spans="1:11" ht="15" hidden="1" customHeight="1" x14ac:dyDescent="0.35">
      <c r="A1" s="3" t="str">
        <f>'Budget Plan '!A24</f>
        <v>Revised 7/1/2025</v>
      </c>
      <c r="B1" s="224" t="s">
        <v>164</v>
      </c>
      <c r="C1" s="225">
        <v>10.09</v>
      </c>
      <c r="D1" s="226"/>
      <c r="I1" s="19" t="str">
        <f>'Budget Plan '!A25</f>
        <v>Individualized Budget Plan Software 04-19-02.xls</v>
      </c>
    </row>
    <row r="2" spans="1:11" ht="30.75" customHeight="1" x14ac:dyDescent="0.45">
      <c r="A2" s="310"/>
      <c r="B2" s="310"/>
      <c r="C2" s="310"/>
      <c r="D2" s="310"/>
      <c r="E2" s="310"/>
      <c r="F2" s="310" t="s">
        <v>184</v>
      </c>
      <c r="G2" s="310"/>
      <c r="H2" s="310"/>
      <c r="I2" s="310"/>
      <c r="J2" s="310"/>
      <c r="K2" s="310"/>
    </row>
    <row r="3" spans="1:11" ht="15" customHeight="1" x14ac:dyDescent="0.35">
      <c r="A3" s="146"/>
      <c r="B3" s="146"/>
      <c r="C3" s="146"/>
      <c r="D3" s="146"/>
      <c r="E3" s="146"/>
      <c r="F3" s="146" t="s">
        <v>183</v>
      </c>
      <c r="G3" s="146"/>
      <c r="H3" s="146"/>
      <c r="I3" s="146"/>
      <c r="J3" s="146"/>
      <c r="K3" s="146"/>
    </row>
    <row r="4" spans="1:11" ht="15" customHeight="1" x14ac:dyDescent="0.35">
      <c r="A4" s="13" t="s">
        <v>85</v>
      </c>
      <c r="B4" s="5"/>
      <c r="C4" s="5"/>
      <c r="F4" s="13" t="s">
        <v>18</v>
      </c>
      <c r="G4" s="40"/>
      <c r="H4" s="7" t="s">
        <v>103</v>
      </c>
      <c r="J4" s="7" t="s">
        <v>104</v>
      </c>
    </row>
    <row r="5" spans="1:11" ht="15" customHeight="1" x14ac:dyDescent="0.35">
      <c r="A5" s="17">
        <f>'Budget Plan '!A4</f>
        <v>0</v>
      </c>
      <c r="B5" s="312"/>
      <c r="C5" s="5"/>
      <c r="F5" s="16">
        <f>'Budget Plan '!C4</f>
        <v>0</v>
      </c>
      <c r="H5" s="17">
        <f>'Budget Plan '!F4</f>
        <v>0</v>
      </c>
      <c r="J5" s="18">
        <f>'Budget Plan '!H4</f>
        <v>0</v>
      </c>
    </row>
    <row r="6" spans="1:11" ht="15" customHeight="1" x14ac:dyDescent="0.35">
      <c r="A6" s="13"/>
      <c r="B6" s="13"/>
      <c r="C6" s="13"/>
      <c r="F6" s="56"/>
    </row>
    <row r="7" spans="1:11" ht="22.5" customHeight="1" x14ac:dyDescent="0.45">
      <c r="A7" s="332" t="s">
        <v>163</v>
      </c>
      <c r="B7" s="332"/>
      <c r="C7" s="332"/>
      <c r="D7" s="332"/>
      <c r="E7" s="332"/>
      <c r="F7" s="332"/>
      <c r="G7" s="332"/>
      <c r="H7" s="332"/>
      <c r="I7" s="332"/>
      <c r="J7" s="332"/>
      <c r="K7" s="332"/>
    </row>
    <row r="8" spans="1:11" ht="15" customHeight="1" x14ac:dyDescent="0.35">
      <c r="D8" s="7"/>
      <c r="F8" s="333" t="s">
        <v>5</v>
      </c>
      <c r="G8" s="333"/>
      <c r="H8" s="333"/>
      <c r="I8" s="186"/>
    </row>
    <row r="9" spans="1:11" ht="15" customHeight="1" x14ac:dyDescent="0.35">
      <c r="A9" s="14" t="s">
        <v>180</v>
      </c>
      <c r="B9" s="14"/>
      <c r="C9" s="43"/>
      <c r="D9" s="44"/>
      <c r="E9" s="5" t="s">
        <v>11</v>
      </c>
      <c r="F9" s="5" t="s">
        <v>9</v>
      </c>
      <c r="G9" s="5" t="s">
        <v>13</v>
      </c>
      <c r="H9" s="5" t="s">
        <v>4</v>
      </c>
      <c r="I9" s="5" t="s">
        <v>13</v>
      </c>
      <c r="J9" s="5" t="s">
        <v>14</v>
      </c>
      <c r="K9" s="5" t="s">
        <v>15</v>
      </c>
    </row>
    <row r="10" spans="1:11" ht="15" customHeight="1" x14ac:dyDescent="0.35">
      <c r="A10" s="45" t="s">
        <v>257</v>
      </c>
      <c r="B10" s="45"/>
      <c r="C10" s="45"/>
      <c r="E10" s="46">
        <v>25.2</v>
      </c>
      <c r="F10" s="187"/>
      <c r="G10" s="187"/>
      <c r="H10" s="188">
        <v>1</v>
      </c>
      <c r="I10" s="147">
        <f>ROUND(((F10*(I8/12))/(H10))+(((G10))/(H10)),1)</f>
        <v>0</v>
      </c>
      <c r="J10" s="156">
        <f>(E10*F10)/(H10)</f>
        <v>0</v>
      </c>
      <c r="K10" s="148">
        <f>ROUND((E10*G10)/(H10),2)</f>
        <v>0</v>
      </c>
    </row>
    <row r="11" spans="1:11" ht="15" customHeight="1" x14ac:dyDescent="0.35">
      <c r="A11" s="45" t="s">
        <v>257</v>
      </c>
      <c r="B11" s="45"/>
      <c r="C11" s="45"/>
      <c r="E11" s="46">
        <v>25.2</v>
      </c>
      <c r="F11" s="189"/>
      <c r="G11" s="189"/>
      <c r="H11" s="188">
        <v>2</v>
      </c>
      <c r="I11" s="147">
        <f>ROUND(((F11*(I8/12))/(H11))+(((G11))/(H11)),1)</f>
        <v>0</v>
      </c>
      <c r="J11" s="156">
        <f>(E11*F11)/(H11)</f>
        <v>0</v>
      </c>
      <c r="K11" s="148">
        <f>ROUND((E11*G11)/(H11),2)</f>
        <v>0</v>
      </c>
    </row>
    <row r="12" spans="1:11" ht="15" customHeight="1" x14ac:dyDescent="0.35">
      <c r="A12" s="45" t="s">
        <v>257</v>
      </c>
      <c r="B12" s="45"/>
      <c r="C12" s="45"/>
      <c r="E12" s="46">
        <v>25.2</v>
      </c>
      <c r="F12" s="184"/>
      <c r="G12" s="184"/>
      <c r="H12" s="188">
        <v>3</v>
      </c>
      <c r="I12" s="147">
        <f>ROUND(((F12*(I8/12))/(H12))+(((G12))/(H12)),1)</f>
        <v>0</v>
      </c>
      <c r="J12" s="156">
        <f>(E12*F12)/(H12)</f>
        <v>0</v>
      </c>
      <c r="K12" s="148">
        <f>ROUND((E12*G12)/(H12),2)</f>
        <v>0</v>
      </c>
    </row>
    <row r="13" spans="1:11" ht="15" customHeight="1" x14ac:dyDescent="0.35">
      <c r="A13" s="45" t="s">
        <v>257</v>
      </c>
      <c r="B13" s="45"/>
      <c r="C13" s="45"/>
      <c r="E13" s="48">
        <v>25.2</v>
      </c>
      <c r="F13" s="190"/>
      <c r="G13" s="190"/>
      <c r="H13" s="188">
        <v>4</v>
      </c>
      <c r="I13" s="228">
        <f>ROUND(((F13*(I8/12))/(H13))+(((G13))/(H13)),1)</f>
        <v>0</v>
      </c>
      <c r="J13" s="157">
        <f>(E13*F13)/(H13)</f>
        <v>0</v>
      </c>
      <c r="K13" s="229">
        <f>ROUND((E13*G13)/(H13),2)</f>
        <v>0</v>
      </c>
    </row>
    <row r="14" spans="1:11" ht="15" customHeight="1" x14ac:dyDescent="0.35">
      <c r="D14" s="49"/>
      <c r="E14" s="211" t="s">
        <v>100</v>
      </c>
      <c r="F14" s="232">
        <f>SUM(F10:F13)</f>
        <v>0</v>
      </c>
      <c r="G14" s="215" t="s">
        <v>101</v>
      </c>
      <c r="H14" s="221"/>
      <c r="I14" s="213">
        <f>SUM(I10:I13)</f>
        <v>0</v>
      </c>
      <c r="J14" s="160">
        <f>SUM(J10:J13)</f>
        <v>0</v>
      </c>
      <c r="K14" s="160">
        <f>SUM(K10:K13)</f>
        <v>0</v>
      </c>
    </row>
    <row r="15" spans="1:11" ht="15" customHeight="1" x14ac:dyDescent="0.35">
      <c r="D15" s="49"/>
      <c r="E15" s="50"/>
      <c r="F15" s="119"/>
      <c r="G15" s="5"/>
      <c r="H15" s="6" t="s">
        <v>169</v>
      </c>
      <c r="I15" s="286"/>
      <c r="J15" s="287"/>
      <c r="K15" s="287"/>
    </row>
    <row r="16" spans="1:11" ht="15" customHeight="1" x14ac:dyDescent="0.35">
      <c r="H16" s="5"/>
      <c r="I16" s="52" t="s">
        <v>87</v>
      </c>
      <c r="J16" s="152">
        <f>IF(ROUND(ROUND(ROUND(ROUND(ROUND((J17/G17)*1.096,2)*1.005772,2)*'rate increase'!C2,2)*'rate increase'!C3,2)*'rate increase'!C6,2)&gt;C1,C1,(ROUND(ROUND(ROUND(ROUND(ROUND((J17/G17)*1.096,2)*1.005772,2)*'rate increase'!C2,2)*'rate increase'!C3,2)*'rate increase'!C6,2)))</f>
        <v>0</v>
      </c>
    </row>
    <row r="17" spans="1:14" ht="15" customHeight="1" x14ac:dyDescent="0.35">
      <c r="F17" s="52" t="s">
        <v>88</v>
      </c>
      <c r="G17" s="230">
        <f>IF(F10+F11+F12+F13&lt;1,1,(F10+F11+F12+F13)*4)</f>
        <v>1</v>
      </c>
      <c r="H17" s="227"/>
      <c r="I17" s="315" t="s">
        <v>89</v>
      </c>
      <c r="J17" s="55">
        <f>ROUND(ROUND(ROUND(ROUND(ROUND(ROUND(IF(J14&gt;151.41,151.41,J14)*1.008,2)*1.105,2)*1.0018,2)*1.08,2)*1.03,3)*1.021,2)</f>
        <v>0</v>
      </c>
    </row>
    <row r="18" spans="1:14" ht="15" customHeight="1" x14ac:dyDescent="0.35">
      <c r="D18" s="58"/>
      <c r="F18" s="52" t="s">
        <v>90</v>
      </c>
      <c r="G18" s="231">
        <f>ROUND(I8*G17/12,0)</f>
        <v>0</v>
      </c>
      <c r="J18" s="52" t="s">
        <v>91</v>
      </c>
      <c r="K18" s="175">
        <f>ROUND(G18*J16,2)</f>
        <v>0</v>
      </c>
    </row>
    <row r="19" spans="1:14" ht="15" customHeight="1" x14ac:dyDescent="0.35">
      <c r="D19" s="58"/>
      <c r="F19" s="7" t="s">
        <v>92</v>
      </c>
      <c r="G19" s="231">
        <f>ROUND(G17*I8,0)</f>
        <v>0</v>
      </c>
      <c r="J19" s="52" t="s">
        <v>24</v>
      </c>
      <c r="K19" s="175">
        <f>ROUND((J16*G19),2)</f>
        <v>0</v>
      </c>
    </row>
    <row r="20" spans="1:14" ht="15" customHeight="1" x14ac:dyDescent="0.35">
      <c r="A20" s="62" t="s">
        <v>40</v>
      </c>
    </row>
    <row r="21" spans="1:14" ht="27" customHeight="1" x14ac:dyDescent="0.45">
      <c r="A21" s="310"/>
      <c r="B21" s="310"/>
      <c r="C21" s="310"/>
      <c r="D21" s="310"/>
      <c r="E21" s="310"/>
      <c r="F21" s="310"/>
      <c r="G21" s="310" t="s">
        <v>296</v>
      </c>
      <c r="H21" s="310"/>
      <c r="I21" s="310"/>
      <c r="J21" s="310"/>
      <c r="K21" s="310"/>
      <c r="L21" s="7"/>
      <c r="M21" s="7"/>
      <c r="N21" s="7"/>
    </row>
    <row r="22" spans="1:14" ht="15" customHeight="1" x14ac:dyDescent="0.35">
      <c r="D22" s="7"/>
      <c r="F22" s="174"/>
      <c r="G22" s="174"/>
      <c r="H22" s="174" t="s">
        <v>5</v>
      </c>
      <c r="I22" s="186"/>
      <c r="J22" s="330"/>
      <c r="K22" s="331"/>
    </row>
    <row r="23" spans="1:14" ht="15" customHeight="1" x14ac:dyDescent="0.35">
      <c r="A23" s="14" t="s">
        <v>180</v>
      </c>
      <c r="B23" s="203"/>
      <c r="C23" s="43"/>
      <c r="D23" s="44"/>
      <c r="E23" s="5" t="s">
        <v>11</v>
      </c>
      <c r="F23" s="5" t="s">
        <v>9</v>
      </c>
      <c r="G23" s="5" t="s">
        <v>13</v>
      </c>
      <c r="H23" s="5" t="s">
        <v>4</v>
      </c>
      <c r="I23" s="5" t="s">
        <v>13</v>
      </c>
      <c r="J23" s="5" t="s">
        <v>14</v>
      </c>
      <c r="K23" s="5" t="s">
        <v>15</v>
      </c>
    </row>
    <row r="24" spans="1:14" ht="15" customHeight="1" x14ac:dyDescent="0.35">
      <c r="A24" s="45" t="s">
        <v>257</v>
      </c>
      <c r="B24" s="45"/>
      <c r="C24" s="45"/>
      <c r="E24" s="46">
        <v>25.2</v>
      </c>
      <c r="F24" s="187"/>
      <c r="G24" s="187"/>
      <c r="H24" s="188">
        <v>1</v>
      </c>
      <c r="I24" s="147">
        <f>ROUND(((F24*(I22/12))/(H24))+(((G24))/(H24)),1)</f>
        <v>0</v>
      </c>
      <c r="J24" s="156">
        <f>(E24*F24)/(H24)</f>
        <v>0</v>
      </c>
      <c r="K24" s="148">
        <f>ROUND((E24*G24)/(H24),2)</f>
        <v>0</v>
      </c>
    </row>
    <row r="25" spans="1:14" ht="15" customHeight="1" x14ac:dyDescent="0.35">
      <c r="A25" s="45" t="s">
        <v>257</v>
      </c>
      <c r="B25" s="45"/>
      <c r="C25" s="45"/>
      <c r="E25" s="46">
        <v>25.2</v>
      </c>
      <c r="F25" s="189"/>
      <c r="G25" s="189"/>
      <c r="H25" s="188">
        <v>2</v>
      </c>
      <c r="I25" s="147">
        <f>ROUND(((F25*(I22/12))/(H25))+(((G25))/(H25)),1)</f>
        <v>0</v>
      </c>
      <c r="J25" s="156">
        <f>(E25*F25)/(H25)</f>
        <v>0</v>
      </c>
      <c r="K25" s="148">
        <f>ROUND((E25*G25)/(H25),2)</f>
        <v>0</v>
      </c>
    </row>
    <row r="26" spans="1:14" ht="15" customHeight="1" x14ac:dyDescent="0.35">
      <c r="A26" s="45" t="s">
        <v>257</v>
      </c>
      <c r="B26" s="45"/>
      <c r="C26" s="45"/>
      <c r="E26" s="46">
        <v>25.2</v>
      </c>
      <c r="F26" s="184"/>
      <c r="G26" s="184"/>
      <c r="H26" s="188">
        <v>3</v>
      </c>
      <c r="I26" s="147">
        <f>ROUND(((F26*(I22/12))/(H26))+(((G26))/(H26)),1)</f>
        <v>0</v>
      </c>
      <c r="J26" s="156">
        <f>(E26*F26)/(H26)</f>
        <v>0</v>
      </c>
      <c r="K26" s="148">
        <f>ROUND((E26*G26)/(H26),2)</f>
        <v>0</v>
      </c>
    </row>
    <row r="27" spans="1:14" ht="15" customHeight="1" x14ac:dyDescent="0.35">
      <c r="A27" s="45" t="s">
        <v>257</v>
      </c>
      <c r="B27" s="45"/>
      <c r="C27" s="45"/>
      <c r="E27" s="48">
        <v>25.2</v>
      </c>
      <c r="F27" s="190"/>
      <c r="G27" s="190"/>
      <c r="H27" s="188">
        <v>4</v>
      </c>
      <c r="I27" s="228">
        <f>ROUND(((F27*(I22/12))/(H27))+(((G27))/(H27)),1)</f>
        <v>0</v>
      </c>
      <c r="J27" s="157">
        <f>(E27*F27)/(H27)</f>
        <v>0</v>
      </c>
      <c r="K27" s="229">
        <f>ROUND((E27*G27)/(H27),2)</f>
        <v>0</v>
      </c>
    </row>
    <row r="28" spans="1:14" ht="15" customHeight="1" x14ac:dyDescent="0.35">
      <c r="D28" s="49"/>
      <c r="E28" s="211" t="s">
        <v>100</v>
      </c>
      <c r="F28" s="232">
        <f>SUM(F24:F27)</f>
        <v>0</v>
      </c>
      <c r="G28" s="215" t="s">
        <v>102</v>
      </c>
      <c r="H28" s="221"/>
      <c r="I28" s="213">
        <f>SUM(I24:I27)</f>
        <v>0</v>
      </c>
      <c r="J28" s="160">
        <f>SUM(J24:J27)</f>
        <v>0</v>
      </c>
      <c r="K28" s="160">
        <f>SUM(K24:K27)</f>
        <v>0</v>
      </c>
    </row>
    <row r="29" spans="1:14" ht="15" customHeight="1" x14ac:dyDescent="0.35">
      <c r="D29" s="49"/>
      <c r="E29" s="50"/>
      <c r="F29" s="50"/>
      <c r="G29" s="5"/>
      <c r="H29" s="6" t="s">
        <v>169</v>
      </c>
      <c r="I29" s="286"/>
      <c r="J29" s="4"/>
      <c r="K29" s="287"/>
    </row>
    <row r="30" spans="1:14" ht="15" customHeight="1" x14ac:dyDescent="0.35">
      <c r="A30" s="1" t="str">
        <f>'Budget Plan '!A24</f>
        <v>Revised 7/1/2025</v>
      </c>
      <c r="H30" s="5"/>
      <c r="I30" s="52" t="s">
        <v>87</v>
      </c>
      <c r="J30" s="152">
        <f>IF(ROUND(ROUND(ROUND(ROUND(ROUND((J31/G31)*1.096,2)*1.005772,2)*'rate increase'!C2,2)*'rate increase'!C3,2)*'rate increase'!C6,2)&gt;C1,C1,(ROUND(ROUND(ROUND(ROUND(ROUND((J31/G31)*1.096,2)*1.005772,2)*'rate increase'!C2,2)*'rate increase'!C3,2)*'rate increase'!C6,2)))</f>
        <v>0</v>
      </c>
    </row>
    <row r="31" spans="1:14" ht="15" customHeight="1" x14ac:dyDescent="0.35">
      <c r="A31" s="3" t="s">
        <v>43</v>
      </c>
      <c r="F31" s="52" t="s">
        <v>88</v>
      </c>
      <c r="G31" s="230">
        <f>IF(F24+F25+F26+F27&lt;1,1,(F24+F25+F26+F27)*4)</f>
        <v>1</v>
      </c>
      <c r="H31" s="227"/>
      <c r="I31" s="52" t="s">
        <v>89</v>
      </c>
      <c r="J31" s="301">
        <f>ROUND(ROUND(ROUND(ROUND(ROUND(ROUND(IF(J28&gt;151.41,151.41,J28)*1.008,2)*1.105,2)*1.0018,2)*1.08,2)*1.03,2)*1.021,2)</f>
        <v>0</v>
      </c>
    </row>
    <row r="32" spans="1:14" ht="15" customHeight="1" x14ac:dyDescent="0.35">
      <c r="A32" s="3" t="s">
        <v>6</v>
      </c>
      <c r="D32" s="58"/>
      <c r="F32" s="52" t="s">
        <v>90</v>
      </c>
      <c r="G32" s="231">
        <f>ROUND(I22*G31/12,0)</f>
        <v>0</v>
      </c>
      <c r="J32" s="52" t="s">
        <v>91</v>
      </c>
      <c r="K32" s="175">
        <f>ROUND(G32*J30,2)</f>
        <v>0</v>
      </c>
    </row>
    <row r="33" spans="4:11" ht="15" customHeight="1" x14ac:dyDescent="0.35">
      <c r="D33" s="58"/>
      <c r="F33" s="7" t="s">
        <v>92</v>
      </c>
      <c r="G33" s="231">
        <f>ROUND(G31*I22,0)</f>
        <v>0</v>
      </c>
      <c r="J33" s="52" t="s">
        <v>24</v>
      </c>
      <c r="K33" s="175">
        <f>ROUND((J30*G33),2)</f>
        <v>0</v>
      </c>
    </row>
  </sheetData>
  <sheetProtection algorithmName="SHA-512" hashValue="pHH+NX6cJjwqhu3lihh2XwUR1gH7MbaCsjGo3w4lg3Wx024PSoeShcIChkLZ8TUlvfGHuVC6kjg5RjJNAMoSXg==" saltValue="nwnMHvh3F/BKyphgCfZGWw==" spinCount="100000" sheet="1" selectLockedCells="1"/>
  <mergeCells count="3">
    <mergeCell ref="J22:K22"/>
    <mergeCell ref="A7:K7"/>
    <mergeCell ref="F8:H8"/>
  </mergeCells>
  <pageMargins left="0.7" right="0.7" top="0.75" bottom="0.75" header="0.3" footer="0.3"/>
  <pageSetup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112"/>
  <sheetViews>
    <sheetView showGridLines="0" topLeftCell="A3" workbookViewId="0">
      <selection activeCell="E47" sqref="E47"/>
    </sheetView>
  </sheetViews>
  <sheetFormatPr defaultColWidth="9.59765625" defaultRowHeight="15" customHeight="1" x14ac:dyDescent="0.35"/>
  <cols>
    <col min="1" max="1" width="7.59765625" style="240" customWidth="1"/>
    <col min="2" max="2" width="14" style="237" customWidth="1"/>
    <col min="3" max="3" width="36.59765625" style="126" customWidth="1"/>
    <col min="4" max="4" width="4.796875" style="126" customWidth="1"/>
    <col min="5" max="5" width="209" style="126" customWidth="1"/>
    <col min="6" max="6" width="10.59765625" style="126" customWidth="1"/>
    <col min="7" max="9" width="9.59765625" style="126"/>
    <col min="10" max="10" width="10.19921875" style="126" customWidth="1"/>
    <col min="11" max="11" width="9.59765625" style="126"/>
    <col min="12" max="12" width="11.796875" style="126" customWidth="1"/>
    <col min="13" max="13" width="9.59765625" style="126" customWidth="1"/>
    <col min="14" max="14" width="16" style="126" customWidth="1"/>
    <col min="15" max="15" width="66.59765625" style="126" customWidth="1"/>
    <col min="16" max="16384" width="9.59765625" style="126"/>
  </cols>
  <sheetData>
    <row r="1" spans="1:15" ht="30" customHeight="1" x14ac:dyDescent="0.45">
      <c r="A1" s="368" t="s">
        <v>149</v>
      </c>
      <c r="B1" s="368"/>
      <c r="C1" s="368"/>
      <c r="D1" s="368"/>
      <c r="E1" s="368"/>
      <c r="F1" s="368"/>
      <c r="G1" s="368"/>
      <c r="H1" s="368"/>
      <c r="I1" s="368"/>
      <c r="J1" s="368"/>
      <c r="K1" s="368"/>
      <c r="L1" s="368"/>
      <c r="M1" s="368"/>
      <c r="N1" s="368"/>
      <c r="O1" s="368"/>
    </row>
    <row r="2" spans="1:15" ht="15" customHeight="1" x14ac:dyDescent="0.35">
      <c r="A2" s="249" t="s">
        <v>131</v>
      </c>
      <c r="B2" s="252"/>
      <c r="C2" s="252"/>
      <c r="F2" s="242" t="s">
        <v>185</v>
      </c>
      <c r="G2" s="242"/>
      <c r="H2" s="242"/>
      <c r="I2" s="242"/>
      <c r="J2" s="242"/>
      <c r="K2" s="242"/>
      <c r="L2" s="242"/>
      <c r="M2" s="242"/>
      <c r="N2" s="243"/>
      <c r="O2" s="242"/>
    </row>
    <row r="3" spans="1:15" ht="15" customHeight="1" x14ac:dyDescent="0.35">
      <c r="C3" s="237"/>
      <c r="D3" s="237"/>
      <c r="E3" s="237"/>
      <c r="F3" s="237"/>
      <c r="G3" s="237"/>
      <c r="H3" s="237"/>
      <c r="I3" s="237"/>
      <c r="J3" s="237"/>
      <c r="K3" s="237"/>
      <c r="L3" s="237"/>
      <c r="M3" s="237"/>
      <c r="N3" s="237"/>
    </row>
    <row r="4" spans="1:15" ht="15" customHeight="1" x14ac:dyDescent="0.35">
      <c r="A4" s="250" t="s">
        <v>109</v>
      </c>
      <c r="B4" s="244" t="s">
        <v>140</v>
      </c>
    </row>
    <row r="6" spans="1:15" ht="15" customHeight="1" x14ac:dyDescent="0.35">
      <c r="A6" s="250" t="s">
        <v>106</v>
      </c>
      <c r="B6" s="244"/>
      <c r="C6" s="245" t="s">
        <v>145</v>
      </c>
      <c r="D6" s="245"/>
      <c r="E6" s="245"/>
      <c r="F6" s="245"/>
      <c r="G6" s="245"/>
      <c r="H6" s="245"/>
      <c r="I6" s="245"/>
      <c r="J6" s="245"/>
      <c r="K6" s="245"/>
      <c r="L6" s="245"/>
      <c r="M6" s="245"/>
      <c r="N6" s="245"/>
      <c r="O6" s="245"/>
    </row>
    <row r="7" spans="1:15" ht="15" customHeight="1" x14ac:dyDescent="0.35">
      <c r="B7" s="237" t="s">
        <v>234</v>
      </c>
      <c r="C7" s="241" t="s">
        <v>134</v>
      </c>
      <c r="D7" s="241"/>
      <c r="E7" s="126" t="s">
        <v>186</v>
      </c>
    </row>
    <row r="8" spans="1:15" ht="15" customHeight="1" x14ac:dyDescent="0.35">
      <c r="B8" s="237" t="s">
        <v>235</v>
      </c>
      <c r="C8" s="241" t="s">
        <v>135</v>
      </c>
      <c r="D8" s="241"/>
      <c r="E8" s="126" t="s">
        <v>187</v>
      </c>
      <c r="N8" s="126" t="s">
        <v>40</v>
      </c>
    </row>
    <row r="9" spans="1:15" ht="15" customHeight="1" x14ac:dyDescent="0.35">
      <c r="B9" s="237" t="s">
        <v>237</v>
      </c>
      <c r="C9" s="241" t="s">
        <v>105</v>
      </c>
      <c r="D9" s="241"/>
      <c r="E9" s="126" t="s">
        <v>238</v>
      </c>
    </row>
    <row r="10" spans="1:15" ht="15" customHeight="1" x14ac:dyDescent="0.35">
      <c r="B10" s="237" t="s">
        <v>236</v>
      </c>
      <c r="C10" s="241" t="s">
        <v>136</v>
      </c>
      <c r="D10" s="241"/>
      <c r="E10" s="126" t="s">
        <v>137</v>
      </c>
      <c r="N10" s="126" t="s">
        <v>40</v>
      </c>
    </row>
    <row r="11" spans="1:15" ht="15" customHeight="1" x14ac:dyDescent="0.35">
      <c r="C11" s="126" t="s">
        <v>138</v>
      </c>
    </row>
    <row r="13" spans="1:15" ht="15" customHeight="1" x14ac:dyDescent="0.35">
      <c r="B13" s="237" t="s">
        <v>188</v>
      </c>
      <c r="C13" s="126" t="s">
        <v>7</v>
      </c>
      <c r="E13" s="126" t="s">
        <v>120</v>
      </c>
    </row>
    <row r="14" spans="1:15" ht="15" customHeight="1" x14ac:dyDescent="0.35">
      <c r="E14" s="126" t="s">
        <v>147</v>
      </c>
    </row>
    <row r="15" spans="1:15" ht="15" customHeight="1" x14ac:dyDescent="0.35">
      <c r="E15" s="126" t="s">
        <v>146</v>
      </c>
    </row>
    <row r="17" spans="1:15" ht="15" customHeight="1" x14ac:dyDescent="0.35">
      <c r="B17" s="237" t="s">
        <v>40</v>
      </c>
      <c r="C17" s="246" t="s">
        <v>127</v>
      </c>
      <c r="D17" s="237"/>
      <c r="E17" s="246" t="s">
        <v>122</v>
      </c>
    </row>
    <row r="18" spans="1:15" ht="15" customHeight="1" x14ac:dyDescent="0.35">
      <c r="B18" s="237" t="s">
        <v>240</v>
      </c>
      <c r="C18" s="243" t="s">
        <v>126</v>
      </c>
      <c r="D18" s="243" t="s">
        <v>128</v>
      </c>
      <c r="E18" s="243" t="s">
        <v>123</v>
      </c>
    </row>
    <row r="19" spans="1:15" ht="15" customHeight="1" x14ac:dyDescent="0.35">
      <c r="B19" s="237" t="s">
        <v>241</v>
      </c>
      <c r="C19" s="243" t="s">
        <v>129</v>
      </c>
      <c r="D19" s="243" t="s">
        <v>128</v>
      </c>
      <c r="E19" s="243" t="s">
        <v>124</v>
      </c>
    </row>
    <row r="20" spans="1:15" s="239" customFormat="1" ht="15" customHeight="1" x14ac:dyDescent="0.35">
      <c r="A20" s="251"/>
      <c r="B20" s="238" t="s">
        <v>242</v>
      </c>
      <c r="C20" s="247" t="s">
        <v>130</v>
      </c>
      <c r="D20" s="247" t="s">
        <v>128</v>
      </c>
      <c r="E20" s="247" t="s">
        <v>125</v>
      </c>
    </row>
    <row r="21" spans="1:15" ht="15" customHeight="1" x14ac:dyDescent="0.35">
      <c r="C21" s="237"/>
      <c r="D21" s="237" t="s">
        <v>40</v>
      </c>
      <c r="E21" s="237"/>
    </row>
    <row r="22" spans="1:15" ht="15" customHeight="1" x14ac:dyDescent="0.35">
      <c r="B22" s="237" t="s">
        <v>239</v>
      </c>
      <c r="C22" s="241" t="s">
        <v>121</v>
      </c>
      <c r="E22" s="126" t="s">
        <v>144</v>
      </c>
    </row>
    <row r="23" spans="1:15" ht="15" customHeight="1" x14ac:dyDescent="0.35">
      <c r="E23" s="126" t="s">
        <v>189</v>
      </c>
    </row>
    <row r="24" spans="1:15" ht="15" customHeight="1" x14ac:dyDescent="0.35">
      <c r="A24" s="250" t="s">
        <v>110</v>
      </c>
      <c r="B24" s="244"/>
      <c r="C24" s="245" t="s">
        <v>143</v>
      </c>
      <c r="D24" s="245"/>
      <c r="E24" s="245"/>
      <c r="F24" s="245"/>
      <c r="G24" s="245"/>
      <c r="H24" s="245"/>
      <c r="I24" s="245"/>
      <c r="J24" s="245"/>
      <c r="K24" s="245"/>
      <c r="L24" s="245"/>
      <c r="M24" s="245"/>
      <c r="N24" s="245"/>
      <c r="O24" s="245"/>
    </row>
    <row r="25" spans="1:15" ht="15" customHeight="1" x14ac:dyDescent="0.35">
      <c r="B25" s="237" t="s">
        <v>192</v>
      </c>
      <c r="C25" s="241" t="s">
        <v>107</v>
      </c>
      <c r="E25" s="126" t="s">
        <v>190</v>
      </c>
    </row>
    <row r="26" spans="1:15" ht="15" customHeight="1" x14ac:dyDescent="0.35">
      <c r="E26" s="126" t="s">
        <v>191</v>
      </c>
    </row>
    <row r="27" spans="1:15" ht="15" customHeight="1" x14ac:dyDescent="0.35">
      <c r="E27" s="126" t="s">
        <v>193</v>
      </c>
    </row>
    <row r="28" spans="1:15" ht="15" customHeight="1" x14ac:dyDescent="0.35">
      <c r="E28" s="126" t="s">
        <v>218</v>
      </c>
    </row>
    <row r="30" spans="1:15" ht="15" customHeight="1" x14ac:dyDescent="0.35">
      <c r="B30" s="237" t="s">
        <v>194</v>
      </c>
      <c r="C30" s="241" t="s">
        <v>132</v>
      </c>
      <c r="E30" s="126" t="s">
        <v>264</v>
      </c>
    </row>
    <row r="31" spans="1:15" ht="15" customHeight="1" x14ac:dyDescent="0.35">
      <c r="E31" s="126" t="s">
        <v>266</v>
      </c>
    </row>
    <row r="33" spans="2:15" ht="15" customHeight="1" x14ac:dyDescent="0.35">
      <c r="B33" s="237" t="s">
        <v>197</v>
      </c>
      <c r="C33" s="241" t="s">
        <v>133</v>
      </c>
      <c r="E33" s="126" t="s">
        <v>196</v>
      </c>
    </row>
    <row r="35" spans="2:15" ht="15" customHeight="1" x14ac:dyDescent="0.35">
      <c r="B35" s="237" t="s">
        <v>198</v>
      </c>
      <c r="C35" s="241" t="s">
        <v>142</v>
      </c>
      <c r="E35" s="126" t="s">
        <v>267</v>
      </c>
    </row>
    <row r="36" spans="2:15" ht="15" customHeight="1" x14ac:dyDescent="0.35">
      <c r="E36" s="126" t="s">
        <v>265</v>
      </c>
    </row>
    <row r="38" spans="2:15" ht="15" customHeight="1" x14ac:dyDescent="0.35">
      <c r="B38" s="237" t="s">
        <v>243</v>
      </c>
      <c r="C38" s="241" t="s">
        <v>108</v>
      </c>
      <c r="E38" s="126" t="s">
        <v>141</v>
      </c>
    </row>
    <row r="39" spans="2:15" ht="15" customHeight="1" x14ac:dyDescent="0.35">
      <c r="E39" s="126" t="s">
        <v>195</v>
      </c>
    </row>
    <row r="41" spans="2:15" ht="15" customHeight="1" x14ac:dyDescent="0.35">
      <c r="B41" s="237" t="s">
        <v>231</v>
      </c>
      <c r="C41" s="241" t="s">
        <v>151</v>
      </c>
      <c r="E41" s="126" t="s">
        <v>276</v>
      </c>
    </row>
    <row r="42" spans="2:15" ht="14.25" customHeight="1" x14ac:dyDescent="0.35">
      <c r="E42" s="126" t="s">
        <v>279</v>
      </c>
    </row>
    <row r="43" spans="2:15" ht="14.25" customHeight="1" x14ac:dyDescent="0.35">
      <c r="E43" s="126" t="s">
        <v>280</v>
      </c>
    </row>
    <row r="44" spans="2:15" ht="14.25" customHeight="1" x14ac:dyDescent="0.35">
      <c r="E44" s="126" t="s">
        <v>281</v>
      </c>
    </row>
    <row r="45" spans="2:15" ht="15" customHeight="1" x14ac:dyDescent="0.35">
      <c r="E45" s="239" t="s">
        <v>277</v>
      </c>
      <c r="F45" s="239"/>
      <c r="G45" s="239"/>
      <c r="H45" s="239"/>
      <c r="I45" s="239"/>
      <c r="J45" s="239"/>
      <c r="K45" s="239"/>
      <c r="L45" s="239"/>
      <c r="M45" s="239"/>
      <c r="N45" s="239"/>
      <c r="O45" s="239"/>
    </row>
    <row r="46" spans="2:15" ht="15" customHeight="1" x14ac:dyDescent="0.35">
      <c r="E46" s="126" t="s">
        <v>278</v>
      </c>
    </row>
    <row r="47" spans="2:15" ht="15" customHeight="1" x14ac:dyDescent="0.35">
      <c r="E47" s="126" t="s">
        <v>232</v>
      </c>
    </row>
    <row r="48" spans="2:15" ht="15" customHeight="1" x14ac:dyDescent="0.35">
      <c r="E48" s="126" t="s">
        <v>233</v>
      </c>
    </row>
    <row r="50" spans="1:15" ht="15" customHeight="1" x14ac:dyDescent="0.35">
      <c r="B50" s="248" t="s">
        <v>215</v>
      </c>
      <c r="C50" s="125"/>
      <c r="D50" s="125"/>
      <c r="E50" s="125"/>
      <c r="F50" s="125"/>
      <c r="G50" s="125"/>
      <c r="H50" s="125"/>
      <c r="I50" s="125"/>
      <c r="J50" s="125"/>
      <c r="K50" s="125"/>
      <c r="L50" s="125"/>
    </row>
    <row r="51" spans="1:15" ht="15" customHeight="1" x14ac:dyDescent="0.35">
      <c r="A51" s="240" t="s">
        <v>40</v>
      </c>
      <c r="B51" s="248" t="s">
        <v>199</v>
      </c>
      <c r="C51" s="125"/>
      <c r="D51" s="125"/>
      <c r="E51" s="125"/>
      <c r="F51" s="125"/>
      <c r="G51" s="125"/>
      <c r="H51" s="125"/>
      <c r="I51" s="125"/>
      <c r="J51" s="125"/>
      <c r="K51" s="125"/>
      <c r="L51" s="125"/>
      <c r="M51" s="126" t="s">
        <v>40</v>
      </c>
    </row>
    <row r="52" spans="1:15" ht="15" customHeight="1" x14ac:dyDescent="0.35">
      <c r="B52" s="248" t="s">
        <v>200</v>
      </c>
      <c r="C52" s="125"/>
      <c r="D52" s="125"/>
      <c r="E52" s="125"/>
      <c r="F52" s="125"/>
      <c r="G52" s="125"/>
      <c r="H52" s="125"/>
      <c r="I52" s="125"/>
      <c r="J52" s="125"/>
      <c r="K52" s="125"/>
      <c r="L52" s="125"/>
    </row>
    <row r="53" spans="1:15" ht="15" customHeight="1" x14ac:dyDescent="0.35">
      <c r="B53" s="253"/>
      <c r="C53" s="125"/>
      <c r="D53" s="125"/>
      <c r="E53" s="125"/>
      <c r="F53" s="125"/>
      <c r="G53" s="125"/>
      <c r="H53" s="125"/>
      <c r="I53" s="125"/>
      <c r="J53" s="125"/>
      <c r="K53" s="125"/>
      <c r="L53" s="125"/>
    </row>
    <row r="54" spans="1:15" ht="15" customHeight="1" x14ac:dyDescent="0.35">
      <c r="A54" s="250" t="s">
        <v>113</v>
      </c>
      <c r="B54" s="244"/>
      <c r="C54" s="245" t="s">
        <v>148</v>
      </c>
      <c r="D54" s="245"/>
      <c r="E54" s="245"/>
      <c r="F54" s="245"/>
      <c r="G54" s="245"/>
      <c r="H54" s="245"/>
      <c r="I54" s="245"/>
      <c r="J54" s="245"/>
      <c r="K54" s="245"/>
      <c r="L54" s="245"/>
      <c r="M54" s="245"/>
      <c r="N54" s="245"/>
      <c r="O54" s="245"/>
    </row>
    <row r="55" spans="1:15" ht="15" customHeight="1" x14ac:dyDescent="0.35">
      <c r="B55" s="237" t="s">
        <v>258</v>
      </c>
      <c r="C55" s="241" t="s">
        <v>114</v>
      </c>
      <c r="E55" s="126" t="s">
        <v>202</v>
      </c>
    </row>
    <row r="56" spans="1:15" ht="15" customHeight="1" x14ac:dyDescent="0.35">
      <c r="E56" s="126" t="s">
        <v>203</v>
      </c>
    </row>
    <row r="58" spans="1:15" ht="15" customHeight="1" x14ac:dyDescent="0.35">
      <c r="B58" s="237" t="s">
        <v>259</v>
      </c>
      <c r="C58" s="241" t="s">
        <v>108</v>
      </c>
      <c r="E58" s="126" t="s">
        <v>204</v>
      </c>
    </row>
    <row r="60" spans="1:15" ht="15" customHeight="1" x14ac:dyDescent="0.35">
      <c r="B60" s="237" t="s">
        <v>260</v>
      </c>
      <c r="C60" s="241" t="s">
        <v>115</v>
      </c>
      <c r="E60" s="126" t="s">
        <v>116</v>
      </c>
    </row>
    <row r="61" spans="1:15" ht="15" customHeight="1" x14ac:dyDescent="0.35">
      <c r="E61" s="126" t="s">
        <v>205</v>
      </c>
    </row>
    <row r="63" spans="1:15" ht="81" customHeight="1" x14ac:dyDescent="0.35">
      <c r="B63" s="367" t="s">
        <v>219</v>
      </c>
      <c r="C63" s="367"/>
      <c r="D63" s="367"/>
      <c r="E63" s="367"/>
      <c r="F63" s="367"/>
      <c r="G63" s="367"/>
      <c r="H63" s="367"/>
      <c r="I63" s="367"/>
      <c r="J63" s="367"/>
      <c r="K63" s="367"/>
      <c r="L63" s="367"/>
      <c r="M63" s="367"/>
      <c r="N63" s="367"/>
      <c r="O63" s="367"/>
    </row>
    <row r="66" spans="1:15" ht="15" customHeight="1" x14ac:dyDescent="0.35">
      <c r="A66" s="250" t="s">
        <v>111</v>
      </c>
      <c r="B66" s="244"/>
      <c r="C66" s="245" t="s">
        <v>253</v>
      </c>
      <c r="D66" s="245"/>
      <c r="E66" s="245"/>
      <c r="F66" s="245"/>
      <c r="G66" s="245"/>
      <c r="H66" s="245"/>
      <c r="I66" s="245"/>
      <c r="J66" s="245"/>
      <c r="K66" s="245"/>
      <c r="L66" s="245"/>
      <c r="M66" s="245"/>
      <c r="N66" s="245"/>
      <c r="O66" s="245"/>
    </row>
    <row r="67" spans="1:15" ht="15" customHeight="1" x14ac:dyDescent="0.35">
      <c r="B67" s="237" t="s">
        <v>244</v>
      </c>
      <c r="C67" s="241" t="s">
        <v>112</v>
      </c>
      <c r="E67" s="126" t="s">
        <v>201</v>
      </c>
    </row>
    <row r="69" spans="1:15" ht="15" customHeight="1" x14ac:dyDescent="0.35">
      <c r="B69" s="237" t="s">
        <v>246</v>
      </c>
      <c r="C69" s="241" t="s">
        <v>151</v>
      </c>
      <c r="E69" s="126" t="s">
        <v>245</v>
      </c>
    </row>
    <row r="70" spans="1:15" ht="15" customHeight="1" x14ac:dyDescent="0.35">
      <c r="E70" s="126" t="s">
        <v>195</v>
      </c>
    </row>
    <row r="72" spans="1:15" ht="15" customHeight="1" x14ac:dyDescent="0.35">
      <c r="B72" s="237" t="s">
        <v>247</v>
      </c>
      <c r="C72" s="241" t="s">
        <v>108</v>
      </c>
      <c r="E72" s="126" t="s">
        <v>195</v>
      </c>
    </row>
    <row r="74" spans="1:15" ht="15" customHeight="1" x14ac:dyDescent="0.35">
      <c r="A74" s="256" t="s">
        <v>153</v>
      </c>
      <c r="B74" s="244"/>
      <c r="C74" s="245" t="s">
        <v>119</v>
      </c>
      <c r="D74" s="245"/>
      <c r="E74" s="245"/>
      <c r="F74" s="245"/>
      <c r="G74" s="245"/>
      <c r="H74" s="245"/>
      <c r="I74" s="245"/>
      <c r="J74" s="245"/>
      <c r="K74" s="245"/>
      <c r="L74" s="245"/>
      <c r="M74" s="245"/>
      <c r="N74" s="245"/>
      <c r="O74" s="245"/>
    </row>
    <row r="75" spans="1:15" ht="15" customHeight="1" x14ac:dyDescent="0.35">
      <c r="A75" s="257"/>
    </row>
    <row r="76" spans="1:15" ht="15" customHeight="1" x14ac:dyDescent="0.35">
      <c r="A76" s="257"/>
      <c r="B76" s="237" t="s">
        <v>248</v>
      </c>
      <c r="C76" s="241" t="s">
        <v>66</v>
      </c>
      <c r="E76" s="126" t="s">
        <v>206</v>
      </c>
    </row>
    <row r="77" spans="1:15" ht="15" customHeight="1" x14ac:dyDescent="0.35">
      <c r="A77" s="257"/>
      <c r="E77" s="126" t="s">
        <v>207</v>
      </c>
    </row>
    <row r="78" spans="1:15" ht="15" customHeight="1" x14ac:dyDescent="0.35">
      <c r="A78" s="257"/>
    </row>
    <row r="79" spans="1:15" ht="15" customHeight="1" x14ac:dyDescent="0.35">
      <c r="A79" s="256" t="s">
        <v>208</v>
      </c>
      <c r="B79" s="244"/>
      <c r="C79" s="245" t="s">
        <v>269</v>
      </c>
      <c r="D79" s="245"/>
      <c r="E79" s="245"/>
      <c r="F79" s="245"/>
      <c r="G79" s="245"/>
      <c r="H79" s="245"/>
      <c r="I79" s="245"/>
      <c r="J79" s="245"/>
      <c r="K79" s="245"/>
      <c r="L79" s="245"/>
      <c r="M79" s="245"/>
      <c r="N79" s="245"/>
      <c r="O79" s="245"/>
    </row>
    <row r="80" spans="1:15" ht="15" customHeight="1" x14ac:dyDescent="0.35">
      <c r="A80" s="256"/>
      <c r="B80" s="244"/>
      <c r="C80" s="245" t="s">
        <v>268</v>
      </c>
      <c r="D80" s="245"/>
      <c r="E80" s="245"/>
      <c r="F80" s="245"/>
      <c r="G80" s="245"/>
      <c r="H80" s="245"/>
      <c r="I80" s="245"/>
      <c r="J80" s="245"/>
      <c r="K80" s="245"/>
      <c r="L80" s="245"/>
      <c r="M80" s="245"/>
      <c r="N80" s="245"/>
      <c r="O80" s="245"/>
    </row>
    <row r="81" spans="1:15" ht="15" customHeight="1" x14ac:dyDescent="0.35">
      <c r="A81" s="257"/>
      <c r="B81" s="237" t="s">
        <v>249</v>
      </c>
      <c r="C81" s="241" t="s">
        <v>5</v>
      </c>
      <c r="E81" s="126" t="s">
        <v>216</v>
      </c>
    </row>
    <row r="82" spans="1:15" ht="15" customHeight="1" x14ac:dyDescent="0.35">
      <c r="A82" s="257"/>
    </row>
    <row r="83" spans="1:15" ht="15" customHeight="1" x14ac:dyDescent="0.35">
      <c r="A83" s="257"/>
      <c r="B83" s="237" t="s">
        <v>250</v>
      </c>
      <c r="C83" s="241" t="s">
        <v>114</v>
      </c>
      <c r="E83" s="126" t="s">
        <v>262</v>
      </c>
    </row>
    <row r="84" spans="1:15" ht="15" customHeight="1" x14ac:dyDescent="0.35">
      <c r="A84" s="257"/>
    </row>
    <row r="85" spans="1:15" ht="15" customHeight="1" x14ac:dyDescent="0.35">
      <c r="A85" s="257"/>
      <c r="B85" s="237" t="s">
        <v>261</v>
      </c>
      <c r="C85" s="241" t="s">
        <v>108</v>
      </c>
      <c r="E85" s="126" t="s">
        <v>195</v>
      </c>
    </row>
    <row r="86" spans="1:15" ht="15" customHeight="1" x14ac:dyDescent="0.35">
      <c r="A86" s="257"/>
    </row>
    <row r="87" spans="1:15" ht="15" customHeight="1" x14ac:dyDescent="0.35">
      <c r="A87" s="256" t="s">
        <v>209</v>
      </c>
      <c r="B87" s="244"/>
      <c r="C87" s="245" t="s">
        <v>271</v>
      </c>
      <c r="D87" s="245"/>
      <c r="E87" s="245"/>
      <c r="F87" s="245"/>
      <c r="G87" s="245"/>
      <c r="H87" s="245"/>
      <c r="I87" s="245"/>
      <c r="J87" s="245"/>
      <c r="K87" s="245"/>
      <c r="L87" s="245"/>
      <c r="M87" s="245"/>
      <c r="N87" s="245"/>
      <c r="O87" s="245"/>
    </row>
    <row r="88" spans="1:15" ht="15" customHeight="1" x14ac:dyDescent="0.35">
      <c r="A88" s="256"/>
      <c r="B88" s="244"/>
      <c r="C88" s="245" t="s">
        <v>270</v>
      </c>
      <c r="D88" s="245"/>
      <c r="E88" s="245"/>
      <c r="F88" s="245"/>
      <c r="G88" s="245"/>
      <c r="H88" s="245"/>
      <c r="I88" s="245"/>
      <c r="J88" s="245"/>
      <c r="K88" s="245"/>
      <c r="L88" s="245"/>
      <c r="M88" s="245"/>
      <c r="N88" s="245"/>
      <c r="O88" s="245"/>
    </row>
    <row r="90" spans="1:15" ht="15" customHeight="1" x14ac:dyDescent="0.35">
      <c r="B90" s="237" t="s">
        <v>249</v>
      </c>
      <c r="C90" s="241" t="s">
        <v>5</v>
      </c>
      <c r="E90" s="126" t="s">
        <v>211</v>
      </c>
    </row>
    <row r="92" spans="1:15" ht="15" customHeight="1" x14ac:dyDescent="0.35">
      <c r="B92" s="237" t="s">
        <v>251</v>
      </c>
      <c r="C92" s="241" t="s">
        <v>114</v>
      </c>
      <c r="E92" s="126" t="s">
        <v>262</v>
      </c>
    </row>
    <row r="94" spans="1:15" ht="15" customHeight="1" x14ac:dyDescent="0.35">
      <c r="B94" s="237" t="s">
        <v>261</v>
      </c>
      <c r="C94" s="241" t="s">
        <v>108</v>
      </c>
      <c r="E94" s="126" t="s">
        <v>195</v>
      </c>
    </row>
    <row r="96" spans="1:15" ht="15" customHeight="1" x14ac:dyDescent="0.35">
      <c r="A96" s="250" t="s">
        <v>162</v>
      </c>
      <c r="B96" s="244"/>
      <c r="C96" s="245" t="s">
        <v>252</v>
      </c>
      <c r="D96" s="245"/>
      <c r="E96" s="245"/>
      <c r="F96" s="245"/>
      <c r="G96" s="245"/>
      <c r="H96" s="245"/>
      <c r="I96" s="245"/>
      <c r="J96" s="245"/>
      <c r="K96" s="245"/>
      <c r="L96" s="245"/>
      <c r="M96" s="245"/>
      <c r="N96" s="245"/>
      <c r="O96" s="245"/>
    </row>
    <row r="97" spans="1:15" ht="15" customHeight="1" x14ac:dyDescent="0.35">
      <c r="C97" s="126" t="s">
        <v>210</v>
      </c>
    </row>
    <row r="98" spans="1:15" ht="15" customHeight="1" x14ac:dyDescent="0.35">
      <c r="C98" s="126" t="s">
        <v>152</v>
      </c>
    </row>
    <row r="99" spans="1:15" ht="15" customHeight="1" x14ac:dyDescent="0.35">
      <c r="A99" s="240" t="s">
        <v>40</v>
      </c>
      <c r="C99" s="126" t="s">
        <v>40</v>
      </c>
      <c r="N99" s="126" t="s">
        <v>40</v>
      </c>
    </row>
    <row r="100" spans="1:15" ht="15" customHeight="1" x14ac:dyDescent="0.35">
      <c r="C100" s="254" t="s">
        <v>117</v>
      </c>
    </row>
    <row r="101" spans="1:15" ht="15" customHeight="1" x14ac:dyDescent="0.35">
      <c r="B101" s="237" t="s">
        <v>263</v>
      </c>
      <c r="C101" s="241" t="s">
        <v>5</v>
      </c>
      <c r="E101" s="126" t="s">
        <v>150</v>
      </c>
    </row>
    <row r="103" spans="1:15" ht="15" customHeight="1" x14ac:dyDescent="0.35">
      <c r="B103" s="237" t="s">
        <v>212</v>
      </c>
      <c r="C103" s="241" t="s">
        <v>114</v>
      </c>
      <c r="E103" s="126" t="s">
        <v>139</v>
      </c>
    </row>
    <row r="105" spans="1:15" ht="15" customHeight="1" x14ac:dyDescent="0.35">
      <c r="C105" s="254" t="s">
        <v>118</v>
      </c>
    </row>
    <row r="106" spans="1:15" ht="15" customHeight="1" x14ac:dyDescent="0.35">
      <c r="B106" s="237" t="s">
        <v>213</v>
      </c>
      <c r="C106" s="241" t="s">
        <v>112</v>
      </c>
      <c r="E106" s="126" t="s">
        <v>150</v>
      </c>
    </row>
    <row r="108" spans="1:15" ht="15" customHeight="1" x14ac:dyDescent="0.35">
      <c r="B108" s="237" t="s">
        <v>214</v>
      </c>
      <c r="C108" s="241" t="s">
        <v>1</v>
      </c>
      <c r="E108" s="126" t="s">
        <v>139</v>
      </c>
    </row>
    <row r="110" spans="1:15" ht="15" customHeight="1" x14ac:dyDescent="0.35">
      <c r="A110" s="248" t="s">
        <v>156</v>
      </c>
      <c r="B110" s="253"/>
      <c r="C110" s="125"/>
      <c r="D110" s="125"/>
      <c r="E110" s="125"/>
      <c r="F110" s="125"/>
      <c r="G110" s="125"/>
      <c r="H110" s="125"/>
      <c r="I110" s="125"/>
      <c r="J110" s="125"/>
      <c r="K110" s="125"/>
      <c r="L110" s="125"/>
      <c r="M110" s="125"/>
      <c r="N110" s="125"/>
      <c r="O110" s="125"/>
    </row>
    <row r="111" spans="1:15" ht="15" customHeight="1" x14ac:dyDescent="0.35">
      <c r="A111" s="248" t="s">
        <v>157</v>
      </c>
      <c r="B111" s="253"/>
      <c r="C111" s="125"/>
      <c r="D111" s="125"/>
      <c r="E111" s="125"/>
      <c r="F111" s="125"/>
      <c r="G111" s="125"/>
      <c r="H111" s="125"/>
      <c r="I111" s="125"/>
      <c r="J111" s="125"/>
      <c r="K111" s="125"/>
      <c r="L111" s="125"/>
      <c r="M111" s="125"/>
      <c r="N111" s="125"/>
      <c r="O111" s="125"/>
    </row>
    <row r="112" spans="1:15" ht="15" customHeight="1" x14ac:dyDescent="0.35">
      <c r="A112" s="248" t="s">
        <v>256</v>
      </c>
      <c r="B112" s="253"/>
      <c r="C112" s="125"/>
      <c r="D112" s="125"/>
      <c r="E112" s="125"/>
      <c r="F112" s="125"/>
      <c r="G112" s="125"/>
      <c r="H112" s="125"/>
      <c r="I112" s="125"/>
      <c r="J112" s="125"/>
      <c r="K112" s="125"/>
      <c r="L112" s="125"/>
      <c r="M112" s="125"/>
      <c r="N112" s="125"/>
      <c r="O112" s="125"/>
    </row>
  </sheetData>
  <sheetProtection algorithmName="SHA-512" hashValue="qH6rLYnAH/HWkYdL01pNQZ04VA8VY34LeUiIxVDA+CFz2jkTkNqbmN7Wkd2lO5LTqqzhT60EUeLdMKBqTwa66A==" saltValue="OgYkL5z/489v38yVy7WScg==" spinCount="100000" sheet="1" selectLockedCells="1"/>
  <mergeCells count="2">
    <mergeCell ref="B63:O63"/>
    <mergeCell ref="A1:O1"/>
  </mergeCells>
  <pageMargins left="0.25" right="0.25"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9A77-F422-48C8-ABB4-A78A3AB43DBD}">
  <dimension ref="A1:D14"/>
  <sheetViews>
    <sheetView zoomScaleNormal="100" workbookViewId="0">
      <selection activeCell="M24" sqref="M24"/>
    </sheetView>
  </sheetViews>
  <sheetFormatPr defaultColWidth="9.59765625" defaultRowHeight="19.5" x14ac:dyDescent="0.4"/>
  <cols>
    <col min="1" max="1" width="17" style="259" bestFit="1" customWidth="1"/>
    <col min="2" max="2" width="28.796875" style="259" bestFit="1" customWidth="1"/>
    <col min="3" max="3" width="22.3984375" style="259" bestFit="1" customWidth="1"/>
    <col min="4" max="13" width="9.59765625" style="259"/>
    <col min="14" max="14" width="14.19921875" style="259" bestFit="1" customWidth="1"/>
    <col min="15" max="16384" width="9.59765625" style="259"/>
  </cols>
  <sheetData>
    <row r="1" spans="1:4" x14ac:dyDescent="0.4">
      <c r="A1" s="259" t="s">
        <v>165</v>
      </c>
      <c r="B1" s="259" t="s">
        <v>166</v>
      </c>
      <c r="C1" s="259" t="s">
        <v>167</v>
      </c>
    </row>
    <row r="2" spans="1:4" x14ac:dyDescent="0.4">
      <c r="A2" s="260">
        <v>44652</v>
      </c>
      <c r="B2" s="261">
        <v>0.19539999999999999</v>
      </c>
      <c r="C2" s="259">
        <v>1.1954</v>
      </c>
    </row>
    <row r="3" spans="1:4" x14ac:dyDescent="0.4">
      <c r="A3" s="260">
        <v>44743</v>
      </c>
      <c r="B3" s="261">
        <v>3.6499999999999998E-2</v>
      </c>
      <c r="C3" s="259">
        <v>1.0365</v>
      </c>
      <c r="D3" s="259" t="s">
        <v>170</v>
      </c>
    </row>
    <row r="4" spans="1:4" x14ac:dyDescent="0.4">
      <c r="B4" s="261">
        <v>4.4580000000000002E-2</v>
      </c>
      <c r="D4" s="259" t="s">
        <v>171</v>
      </c>
    </row>
    <row r="5" spans="1:4" x14ac:dyDescent="0.4">
      <c r="B5" s="261">
        <v>0.05</v>
      </c>
      <c r="D5" s="259" t="s">
        <v>172</v>
      </c>
    </row>
    <row r="6" spans="1:4" x14ac:dyDescent="0.4">
      <c r="A6" s="260">
        <v>44927</v>
      </c>
      <c r="B6" s="261">
        <v>5.3E-3</v>
      </c>
      <c r="C6" s="259">
        <v>1.0053000000000001</v>
      </c>
      <c r="D6" s="259" t="s">
        <v>170</v>
      </c>
    </row>
    <row r="7" spans="1:4" x14ac:dyDescent="0.4">
      <c r="B7" s="261">
        <v>5.4000000000000003E-3</v>
      </c>
      <c r="D7" s="259" t="s">
        <v>171</v>
      </c>
    </row>
    <row r="8" spans="1:4" x14ac:dyDescent="0.4">
      <c r="B8" s="261">
        <v>2.53E-2</v>
      </c>
      <c r="D8" s="259" t="s">
        <v>217</v>
      </c>
    </row>
    <row r="9" spans="1:4" x14ac:dyDescent="0.4">
      <c r="A9" s="260">
        <v>45031</v>
      </c>
      <c r="B9" s="265">
        <v>1000</v>
      </c>
      <c r="D9" s="259" t="s">
        <v>226</v>
      </c>
    </row>
    <row r="10" spans="1:4" x14ac:dyDescent="0.4">
      <c r="B10" s="265">
        <v>1200</v>
      </c>
      <c r="D10" s="259" t="s">
        <v>227</v>
      </c>
    </row>
    <row r="11" spans="1:4" x14ac:dyDescent="0.4">
      <c r="B11" s="266" t="s">
        <v>230</v>
      </c>
      <c r="D11" s="259" t="s">
        <v>228</v>
      </c>
    </row>
    <row r="12" spans="1:4" x14ac:dyDescent="0.4">
      <c r="B12" s="265">
        <v>150</v>
      </c>
      <c r="D12" s="259" t="s">
        <v>229</v>
      </c>
    </row>
    <row r="13" spans="1:4" x14ac:dyDescent="0.4">
      <c r="A13" s="260">
        <v>45108</v>
      </c>
      <c r="B13" s="261">
        <v>9.9900000000000003E-2</v>
      </c>
      <c r="D13" s="259" t="s">
        <v>224</v>
      </c>
    </row>
    <row r="14" spans="1:4" x14ac:dyDescent="0.4">
      <c r="B14" s="265">
        <v>70.510000000000005</v>
      </c>
      <c r="D14" s="259" t="s">
        <v>225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6"/>
  <sheetViews>
    <sheetView showGridLines="0" showZeros="0" zoomScaleNormal="100" workbookViewId="0">
      <selection activeCell="A4" sqref="A4"/>
    </sheetView>
  </sheetViews>
  <sheetFormatPr defaultColWidth="9.3984375" defaultRowHeight="15" customHeight="1" x14ac:dyDescent="0.25"/>
  <cols>
    <col min="1" max="1" width="99.3984375" style="4" customWidth="1"/>
    <col min="2" max="2" width="5" style="4" customWidth="1"/>
    <col min="3" max="3" width="24.59765625" style="4" customWidth="1"/>
    <col min="4" max="4" width="21.3984375" style="326" customWidth="1"/>
    <col min="5" max="5" width="6.796875" style="326" customWidth="1"/>
    <col min="6" max="6" width="22.796875" style="4" customWidth="1"/>
    <col min="7" max="7" width="7.3984375" style="4" customWidth="1"/>
    <col min="8" max="8" width="26.59765625" style="4" customWidth="1"/>
    <col min="9" max="9" width="7.796875" style="4" customWidth="1"/>
    <col min="10" max="10" width="0.19921875" style="4" customWidth="1"/>
    <col min="11" max="11" width="8.796875" style="4" hidden="1" customWidth="1"/>
    <col min="12" max="16384" width="9.3984375" style="4"/>
  </cols>
  <sheetData>
    <row r="1" spans="1:11" ht="30.75" customHeight="1" x14ac:dyDescent="0.25">
      <c r="A1" s="335" t="s">
        <v>21</v>
      </c>
      <c r="B1" s="335"/>
      <c r="C1" s="335"/>
      <c r="D1" s="335"/>
      <c r="E1" s="335"/>
      <c r="F1" s="335"/>
      <c r="G1" s="335"/>
      <c r="H1" s="335"/>
      <c r="I1" s="335"/>
      <c r="J1" s="335"/>
    </row>
    <row r="2" spans="1:11" s="321" customFormat="1" ht="15" customHeight="1" x14ac:dyDescent="0.4">
      <c r="A2" s="336" t="s">
        <v>273</v>
      </c>
      <c r="B2" s="336"/>
      <c r="C2" s="336"/>
      <c r="D2" s="336"/>
      <c r="E2" s="336"/>
      <c r="F2" s="336"/>
      <c r="G2" s="336"/>
      <c r="H2" s="336"/>
      <c r="I2" s="336"/>
      <c r="J2" s="336"/>
    </row>
    <row r="3" spans="1:11" s="321" customFormat="1" ht="15" customHeight="1" x14ac:dyDescent="0.4">
      <c r="A3" s="270" t="s">
        <v>20</v>
      </c>
      <c r="B3" s="204"/>
      <c r="C3" s="206" t="s">
        <v>18</v>
      </c>
      <c r="D3" s="270"/>
      <c r="E3" s="270"/>
      <c r="F3" s="270" t="s">
        <v>105</v>
      </c>
      <c r="G3" s="270"/>
      <c r="H3" s="206" t="s">
        <v>104</v>
      </c>
      <c r="I3" s="204" t="s">
        <v>40</v>
      </c>
      <c r="J3" s="207"/>
    </row>
    <row r="4" spans="1:11" s="321" customFormat="1" ht="15" customHeight="1" x14ac:dyDescent="0.4">
      <c r="A4" s="268"/>
      <c r="B4" s="319"/>
      <c r="C4" s="279"/>
      <c r="D4" s="273"/>
      <c r="E4" s="319"/>
      <c r="F4" s="269"/>
      <c r="G4" s="204"/>
      <c r="H4" s="329"/>
      <c r="I4" s="204" t="s">
        <v>40</v>
      </c>
      <c r="J4" s="204"/>
    </row>
    <row r="5" spans="1:11" s="321" customFormat="1" ht="15" customHeight="1" x14ac:dyDescent="0.4">
      <c r="A5" s="205"/>
      <c r="B5" s="205"/>
      <c r="C5" s="205"/>
      <c r="D5" s="208"/>
      <c r="E5" s="208"/>
      <c r="F5" s="205"/>
      <c r="G5" s="204"/>
      <c r="H5" s="204" t="s">
        <v>40</v>
      </c>
      <c r="I5" s="328" t="s">
        <v>40</v>
      </c>
      <c r="J5" s="207"/>
    </row>
    <row r="6" spans="1:11" s="321" customFormat="1" ht="15" customHeight="1" x14ac:dyDescent="0.4">
      <c r="A6" s="313" t="s">
        <v>54</v>
      </c>
      <c r="B6" s="235"/>
      <c r="C6" s="255"/>
      <c r="D6" s="208"/>
      <c r="E6" s="208"/>
      <c r="F6" s="334"/>
      <c r="G6" s="334"/>
      <c r="H6" s="205" t="s">
        <v>40</v>
      </c>
      <c r="I6" s="205"/>
      <c r="J6" s="204"/>
      <c r="K6" s="320"/>
    </row>
    <row r="7" spans="1:11" s="321" customFormat="1" ht="15" customHeight="1" x14ac:dyDescent="0.4">
      <c r="A7" s="209"/>
      <c r="B7" s="209"/>
      <c r="C7" s="318"/>
      <c r="D7" s="208"/>
      <c r="E7" s="208"/>
      <c r="F7" s="204"/>
      <c r="G7" s="204"/>
      <c r="H7" s="319"/>
      <c r="I7" s="205"/>
      <c r="J7" s="204"/>
      <c r="K7" s="320"/>
    </row>
    <row r="8" spans="1:11" s="321" customFormat="1" ht="15" customHeight="1" x14ac:dyDescent="0.4">
      <c r="A8" s="337" t="s">
        <v>7</v>
      </c>
      <c r="B8" s="271"/>
      <c r="C8" s="233" t="s">
        <v>3</v>
      </c>
      <c r="D8" s="233" t="s">
        <v>96</v>
      </c>
      <c r="E8" s="233"/>
      <c r="F8" s="233" t="s">
        <v>94</v>
      </c>
      <c r="G8" s="205" t="s">
        <v>40</v>
      </c>
      <c r="H8" s="205"/>
      <c r="I8" s="205"/>
      <c r="J8" s="207"/>
    </row>
    <row r="9" spans="1:11" s="321" customFormat="1" ht="15" customHeight="1" x14ac:dyDescent="0.4">
      <c r="A9" s="338"/>
      <c r="B9" s="272"/>
      <c r="C9" s="233" t="s">
        <v>41</v>
      </c>
      <c r="D9" s="233" t="s">
        <v>65</v>
      </c>
      <c r="E9" s="233"/>
      <c r="F9" s="233" t="s">
        <v>95</v>
      </c>
      <c r="G9" s="205" t="s">
        <v>40</v>
      </c>
      <c r="H9" s="205"/>
      <c r="I9" s="205"/>
      <c r="J9" s="207"/>
    </row>
    <row r="10" spans="1:11" s="321" customFormat="1" ht="15" customHeight="1" x14ac:dyDescent="0.4">
      <c r="A10" s="274" t="s">
        <v>284</v>
      </c>
      <c r="B10" s="277"/>
      <c r="C10" s="234" t="str">
        <f>IF(RHS!F24&lt;0,"",RHS!I30)</f>
        <v/>
      </c>
      <c r="D10" s="304" t="str">
        <f>IF(RHS!F24&lt;0,"",RHS!G7)</f>
        <v/>
      </c>
      <c r="E10" s="305"/>
      <c r="F10" s="236" t="str">
        <f>IF(RHS!F24&lt;0," ",ROUND(RHS!F24,2))</f>
        <v xml:space="preserve"> </v>
      </c>
      <c r="G10" s="205"/>
      <c r="H10" s="205" t="s">
        <v>40</v>
      </c>
      <c r="I10" s="205"/>
      <c r="J10" s="207"/>
    </row>
    <row r="11" spans="1:11" s="321" customFormat="1" ht="15" customHeight="1" x14ac:dyDescent="0.4">
      <c r="A11" s="274" t="s">
        <v>285</v>
      </c>
      <c r="B11" s="277"/>
      <c r="C11" s="234" t="str">
        <f>IF('PPS HHS'!J18=0,"",'PPS HHS'!J41)</f>
        <v/>
      </c>
      <c r="D11" s="308"/>
      <c r="E11" s="309"/>
      <c r="F11" s="236" t="str">
        <f>IF('PPS HHS'!J18=0," ",ROUND('PPS HHS'!J18,2))</f>
        <v xml:space="preserve"> </v>
      </c>
      <c r="G11" s="205"/>
      <c r="H11" s="205" t="s">
        <v>40</v>
      </c>
      <c r="I11" s="205"/>
      <c r="J11" s="207"/>
    </row>
    <row r="12" spans="1:11" s="321" customFormat="1" ht="15" customHeight="1" x14ac:dyDescent="0.4">
      <c r="A12" s="274" t="s">
        <v>282</v>
      </c>
      <c r="B12" s="277"/>
      <c r="C12" s="234" t="str">
        <f>IF(DSG!F13=0,"",DSG!I17)</f>
        <v/>
      </c>
      <c r="D12" s="304" t="str">
        <f>IF(DSG!F13=0,"",DSG!H6)</f>
        <v/>
      </c>
      <c r="E12" s="305"/>
      <c r="F12" s="236" t="str">
        <f>IF(DSG!F13=0,"",ROUND(DSG!F13,2))</f>
        <v/>
      </c>
      <c r="G12" s="205"/>
      <c r="H12" s="205"/>
      <c r="I12" s="205"/>
      <c r="J12" s="207"/>
    </row>
    <row r="13" spans="1:11" s="321" customFormat="1" ht="15" customHeight="1" x14ac:dyDescent="0.4">
      <c r="A13" s="274" t="s">
        <v>283</v>
      </c>
      <c r="B13" s="277"/>
      <c r="C13" s="234" t="str">
        <f>IF('SEE SEI DSI'!L11=0,"",'SEE SEI DSI'!K24)</f>
        <v/>
      </c>
      <c r="D13" s="304" t="str">
        <f>IF('SEE SEI DSI'!B36=0,"",'SEE SEI DSI'!L11)</f>
        <v/>
      </c>
      <c r="E13" s="305"/>
      <c r="F13" s="236" t="str">
        <f>IF('SEE SEI DSI'!L11=0," ",ROUND('SEE SEI DSI'!K22,2))</f>
        <v xml:space="preserve"> </v>
      </c>
      <c r="G13" s="205"/>
      <c r="H13" s="205"/>
      <c r="I13" s="205"/>
      <c r="J13" s="207"/>
    </row>
    <row r="14" spans="1:11" s="321" customFormat="1" ht="15" customHeight="1" x14ac:dyDescent="0.4">
      <c r="A14" s="274" t="s">
        <v>286</v>
      </c>
      <c r="B14" s="277"/>
      <c r="C14" s="234" t="str">
        <f>IF('DSP 6 hr Daily'!H13=0,"",'DSP 6 hr Daily'!J18)</f>
        <v/>
      </c>
      <c r="D14" s="304" t="str">
        <f>IF('DSP 6 hr Daily'!H13=0,"",'DSP 6 hr Daily'!I6)</f>
        <v/>
      </c>
      <c r="E14" s="305"/>
      <c r="F14" s="236" t="str">
        <f>IF('DSP 6 hr Daily'!H13=0,"",ROUND('DSP 6 hr Daily'!H13,2))</f>
        <v/>
      </c>
      <c r="G14" s="205" t="s">
        <v>40</v>
      </c>
      <c r="H14" s="205"/>
      <c r="I14" s="205"/>
      <c r="J14" s="207"/>
    </row>
    <row r="15" spans="1:11" s="321" customFormat="1" ht="15" customHeight="1" x14ac:dyDescent="0.4">
      <c r="A15" s="274" t="s">
        <v>287</v>
      </c>
      <c r="B15" s="277"/>
      <c r="C15" s="234" t="str">
        <f>IFERROR(IF('DSP 10 hr Daily'!H13=0,"",'DSP 10 hr Daily'!J18),"")</f>
        <v/>
      </c>
      <c r="D15" s="304" t="str">
        <f>IFERROR(IF('DSP 10 hr Daily'!H13=0,"",'DSP 10 hr Daily'!I6),"")</f>
        <v/>
      </c>
      <c r="E15" s="305"/>
      <c r="F15" s="236" t="str">
        <f>IF('DSP 10 hr Daily'!H13=0,"",IFERROR(ROUND('DSP 10 hr Daily'!H13,2),""))</f>
        <v/>
      </c>
      <c r="G15" s="205"/>
      <c r="H15" s="205"/>
      <c r="I15" s="205"/>
      <c r="J15" s="207"/>
    </row>
    <row r="16" spans="1:11" s="321" customFormat="1" ht="15" customHeight="1" x14ac:dyDescent="0.4">
      <c r="A16" s="274" t="s">
        <v>292</v>
      </c>
      <c r="B16" s="276"/>
      <c r="C16" s="234" t="str">
        <f>IF('DSP Qtr Hr  '!I8=0," ",'DSP Qtr Hr  '!J16)</f>
        <v xml:space="preserve"> </v>
      </c>
      <c r="D16" s="306" t="str">
        <f>IF('DSP Qtr Hr  '!G19=0," ",'DSP Qtr Hr  '!G19)</f>
        <v xml:space="preserve"> </v>
      </c>
      <c r="E16" s="307"/>
      <c r="F16" s="236" t="str">
        <f>IF('DSP Qtr Hr  '!G17=1," ",ROUND(('DSP Qtr Hr  '!G17/4),2))</f>
        <v xml:space="preserve"> </v>
      </c>
      <c r="G16" s="205"/>
      <c r="H16" s="205"/>
      <c r="I16" s="205"/>
      <c r="J16" s="207"/>
    </row>
    <row r="17" spans="1:11" s="321" customFormat="1" ht="15" customHeight="1" x14ac:dyDescent="0.4">
      <c r="A17" s="274" t="s">
        <v>293</v>
      </c>
      <c r="B17" s="276"/>
      <c r="C17" s="234" t="str">
        <f>IF('DSP Qtr Hr  '!I22&lt;1," ",'DSP Qtr Hr  '!J30)</f>
        <v xml:space="preserve"> </v>
      </c>
      <c r="D17" s="306" t="str">
        <f>IF('DSP Qtr Hr  '!G33=0," ",'DSP Qtr Hr  '!G33)</f>
        <v xml:space="preserve"> </v>
      </c>
      <c r="E17" s="307"/>
      <c r="F17" s="236" t="str">
        <f>IF('DSP Qtr Hr  '!G31=1," ",ROUND(('DSP Qtr Hr  '!G31/4),2))</f>
        <v xml:space="preserve"> </v>
      </c>
      <c r="G17" s="205"/>
      <c r="H17" s="205"/>
      <c r="I17" s="205"/>
      <c r="J17" s="207"/>
    </row>
    <row r="18" spans="1:11" s="321" customFormat="1" ht="15" customHeight="1" x14ac:dyDescent="0.4">
      <c r="A18" s="274" t="s">
        <v>288</v>
      </c>
      <c r="B18" s="277"/>
      <c r="C18" s="234" t="str">
        <f>IF('EPR 6 hr Daily'!I6=0,"",'EPR 6 hr Daily'!J18)</f>
        <v/>
      </c>
      <c r="D18" s="304" t="str">
        <f>IF('EPR 6 hr Daily'!I6=0," ",'EPR 6 hr Daily'!I6)</f>
        <v xml:space="preserve"> </v>
      </c>
      <c r="E18" s="305"/>
      <c r="F18" s="236" t="str">
        <f>IF('EPR 6 hr Daily'!H13=0," ",ROUND('EPR 6 hr Daily'!H13,2))</f>
        <v xml:space="preserve"> </v>
      </c>
      <c r="G18" s="205"/>
      <c r="H18" s="205"/>
      <c r="I18" s="205"/>
      <c r="J18" s="207"/>
    </row>
    <row r="19" spans="1:11" s="321" customFormat="1" ht="15" customHeight="1" x14ac:dyDescent="0.4">
      <c r="A19" s="274" t="s">
        <v>289</v>
      </c>
      <c r="B19" s="277"/>
      <c r="C19" s="234" t="str">
        <f>IF('EPR 10 hr Daily'!H13=0,"",'EPR 10 hr Daily'!J18)</f>
        <v/>
      </c>
      <c r="D19" s="304" t="str">
        <f>IF('EPR 10 hr Daily'!H13=0,"",'EPR 10 hr Daily'!I6)</f>
        <v/>
      </c>
      <c r="E19" s="305"/>
      <c r="F19" s="236" t="str">
        <f>IF('EPR 10 hr Daily'!H13=0," ",ROUND('EPR 10 hr Daily'!H13,2))</f>
        <v xml:space="preserve"> </v>
      </c>
      <c r="G19" s="205"/>
      <c r="H19" s="205"/>
      <c r="I19" s="205"/>
      <c r="J19" s="207"/>
    </row>
    <row r="20" spans="1:11" s="321" customFormat="1" ht="15" customHeight="1" x14ac:dyDescent="0.4">
      <c r="A20" s="274" t="s">
        <v>290</v>
      </c>
      <c r="B20" s="277"/>
      <c r="C20" s="234" t="str">
        <f>IF('EPR Qtr Hr'!J16=0," ",'EPR Qtr Hr'!J16)</f>
        <v xml:space="preserve"> </v>
      </c>
      <c r="D20" s="306">
        <f>IF('EPR Qtr Hr'!G19=1," ",'EPR Qtr Hr'!G19)</f>
        <v>0</v>
      </c>
      <c r="E20" s="307"/>
      <c r="F20" s="236" t="str">
        <f>IF('EPR Qtr Hr'!G17=1," ",ROUND(('EPR Qtr Hr'!G17/4),2))</f>
        <v xml:space="preserve"> </v>
      </c>
      <c r="G20" s="205"/>
      <c r="H20" s="205"/>
      <c r="I20" s="205"/>
      <c r="J20" s="207"/>
    </row>
    <row r="21" spans="1:11" s="321" customFormat="1" ht="15" customHeight="1" x14ac:dyDescent="0.4">
      <c r="A21" s="275" t="s">
        <v>291</v>
      </c>
      <c r="B21" s="278"/>
      <c r="C21" s="234" t="str">
        <f>IF('EPR Qtr Hr'!J30=0," ",'EPR Qtr Hr'!J30)</f>
        <v xml:space="preserve"> </v>
      </c>
      <c r="D21" s="302">
        <f>IF('EPR Qtr Hr'!G33=1," ",'EPR Qtr Hr'!G33)</f>
        <v>0</v>
      </c>
      <c r="E21" s="303"/>
      <c r="F21" s="236" t="str">
        <f>+IF('EPR Qtr Hr'!G31=1," ",ROUND(('EPR Qtr Hr'!G31/4),2))</f>
        <v xml:space="preserve"> </v>
      </c>
      <c r="G21" s="204"/>
      <c r="H21" s="204"/>
      <c r="I21" s="204"/>
      <c r="J21" s="210"/>
    </row>
    <row r="22" spans="1:11" ht="15" customHeight="1" x14ac:dyDescent="0.3">
      <c r="A22" s="23" t="s">
        <v>40</v>
      </c>
      <c r="B22" s="23"/>
      <c r="C22" s="9" t="s">
        <v>40</v>
      </c>
      <c r="D22" s="10" t="s">
        <v>40</v>
      </c>
      <c r="E22" s="10"/>
      <c r="F22" s="322" t="s">
        <v>40</v>
      </c>
    </row>
    <row r="23" spans="1:11" ht="15" customHeight="1" x14ac:dyDescent="0.3">
      <c r="A23" s="23" t="s">
        <v>40</v>
      </c>
      <c r="B23" s="23"/>
      <c r="C23" s="9"/>
      <c r="D23" s="10"/>
      <c r="E23" s="10"/>
      <c r="F23" s="38"/>
      <c r="H23" s="4" t="s">
        <v>40</v>
      </c>
    </row>
    <row r="24" spans="1:11" ht="15" customHeight="1" x14ac:dyDescent="0.25">
      <c r="A24" s="3" t="s">
        <v>274</v>
      </c>
      <c r="B24" s="3"/>
      <c r="D24" s="323"/>
      <c r="E24" s="323"/>
      <c r="F24" s="324"/>
      <c r="G24" s="21"/>
      <c r="H24" s="325"/>
      <c r="I24" s="325"/>
      <c r="J24" s="325"/>
    </row>
    <row r="25" spans="1:11" ht="15" customHeight="1" x14ac:dyDescent="0.25">
      <c r="A25" s="3" t="s">
        <v>43</v>
      </c>
      <c r="B25" s="3"/>
      <c r="J25" s="325"/>
    </row>
    <row r="26" spans="1:11" ht="15" customHeight="1" x14ac:dyDescent="0.25">
      <c r="A26" s="3" t="s">
        <v>6</v>
      </c>
      <c r="B26" s="3"/>
      <c r="J26" s="325"/>
    </row>
    <row r="27" spans="1:11" ht="15" customHeight="1" x14ac:dyDescent="0.25">
      <c r="K27" s="92"/>
    </row>
    <row r="28" spans="1:11" ht="15" customHeight="1" x14ac:dyDescent="0.35">
      <c r="A28" s="62"/>
      <c r="B28" s="62"/>
      <c r="G28" s="325"/>
      <c r="H28" s="325"/>
      <c r="I28" s="325"/>
      <c r="K28" s="92"/>
    </row>
    <row r="29" spans="1:11" ht="15" customHeight="1" x14ac:dyDescent="0.25">
      <c r="K29" s="327"/>
    </row>
    <row r="30" spans="1:11" ht="15" customHeight="1" x14ac:dyDescent="0.25">
      <c r="F30" s="21"/>
      <c r="G30" s="325"/>
      <c r="H30" s="325"/>
      <c r="I30" s="325"/>
    </row>
    <row r="34" spans="11:11" ht="15" customHeight="1" x14ac:dyDescent="0.25">
      <c r="K34" s="325"/>
    </row>
    <row r="35" spans="11:11" ht="15" customHeight="1" x14ac:dyDescent="0.25">
      <c r="K35" s="325"/>
    </row>
    <row r="36" spans="11:11" ht="15" customHeight="1" x14ac:dyDescent="0.25">
      <c r="K36" s="325"/>
    </row>
  </sheetData>
  <sheetProtection algorithmName="SHA-512" hashValue="cQC1S+djJMLPnNA/s+o+EVqeURHNCK0CoLibESk0hJPAuCpZeDqsp5K14cUPIc1/7AafH2TwFuxb4S8EOOq/2Q==" saltValue="+X56g+Rs4MSX+9SwLkmsXg==" spinCount="100000" sheet="1" selectLockedCells="1"/>
  <mergeCells count="4">
    <mergeCell ref="F6:G6"/>
    <mergeCell ref="A1:J1"/>
    <mergeCell ref="A2:J2"/>
    <mergeCell ref="A8:A9"/>
  </mergeCells>
  <phoneticPr fontId="2" type="noConversion"/>
  <printOptions horizontalCentered="1"/>
  <pageMargins left="0.7" right="0.7" top="0.75" bottom="0.75" header="0.3" footer="0.3"/>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dimension ref="A1:M88"/>
  <sheetViews>
    <sheetView showGridLines="0" zoomScaleNormal="100" workbookViewId="0">
      <selection activeCell="E11" sqref="E11"/>
    </sheetView>
  </sheetViews>
  <sheetFormatPr defaultColWidth="9.59765625" defaultRowHeight="15" customHeight="1" x14ac:dyDescent="0.15"/>
  <cols>
    <col min="1" max="1" width="24.59765625" style="12" customWidth="1"/>
    <col min="2" max="2" width="41.796875" style="12" customWidth="1"/>
    <col min="3" max="3" width="19.3984375" style="12" customWidth="1"/>
    <col min="4" max="4" width="33.796875" style="12" hidden="1" customWidth="1"/>
    <col min="5" max="5" width="32.3984375" style="12" customWidth="1"/>
    <col min="6" max="6" width="31.796875" style="12" customWidth="1"/>
    <col min="7" max="7" width="17" style="12" customWidth="1"/>
    <col min="8" max="8" width="20.796875" style="12" customWidth="1"/>
    <col min="9" max="9" width="19.59765625" style="12" customWidth="1"/>
    <col min="10" max="10" width="19.19921875" style="12" customWidth="1"/>
    <col min="11" max="11" width="17.19921875" style="12" customWidth="1"/>
    <col min="12" max="12" width="19.19921875" style="12" bestFit="1" customWidth="1"/>
    <col min="13" max="13" width="29.19921875" style="12" customWidth="1"/>
    <col min="14" max="14" width="10" style="12" customWidth="1"/>
    <col min="15" max="15" width="14.19921875" style="12" bestFit="1" customWidth="1"/>
    <col min="16" max="207" width="10" style="12" customWidth="1"/>
    <col min="208" max="208" width="2" style="12" customWidth="1"/>
    <col min="209" max="16384" width="9.59765625" style="12"/>
  </cols>
  <sheetData>
    <row r="1" spans="1:10" ht="30.75" customHeight="1" x14ac:dyDescent="0.45">
      <c r="A1" s="332" t="s">
        <v>84</v>
      </c>
      <c r="B1" s="332"/>
      <c r="C1" s="332"/>
      <c r="D1" s="332"/>
      <c r="E1" s="332"/>
      <c r="F1" s="332"/>
      <c r="G1" s="332"/>
      <c r="H1" s="332"/>
      <c r="I1" s="332"/>
      <c r="J1" s="332"/>
    </row>
    <row r="2" spans="1:10" s="19" customFormat="1" ht="15" customHeight="1" x14ac:dyDescent="0.35">
      <c r="A2" s="342" t="str">
        <f>'Budget Plan '!A2:J2</f>
        <v>FY2026</v>
      </c>
      <c r="B2" s="342"/>
      <c r="C2" s="342"/>
      <c r="D2" s="342"/>
      <c r="E2" s="342"/>
      <c r="F2" s="342"/>
      <c r="G2" s="342"/>
      <c r="H2" s="342"/>
      <c r="I2" s="342"/>
      <c r="J2" s="342"/>
    </row>
    <row r="3" spans="1:10" s="19" customFormat="1" ht="15" customHeight="1" x14ac:dyDescent="0.35">
      <c r="A3" s="13" t="s">
        <v>42</v>
      </c>
      <c r="B3" s="5"/>
      <c r="E3" s="5" t="s">
        <v>18</v>
      </c>
      <c r="G3" s="7" t="s">
        <v>103</v>
      </c>
      <c r="I3" s="52" t="s">
        <v>104</v>
      </c>
      <c r="J3" s="5" t="s">
        <v>222</v>
      </c>
    </row>
    <row r="4" spans="1:10" s="19" customFormat="1" ht="15" customHeight="1" x14ac:dyDescent="0.35">
      <c r="A4" s="14">
        <f>'Budget Plan '!A4</f>
        <v>0</v>
      </c>
      <c r="B4" s="15"/>
      <c r="E4" s="16">
        <f>'Budget Plan '!C4</f>
        <v>0</v>
      </c>
      <c r="G4" s="17">
        <f>'Budget Plan '!F4</f>
        <v>0</v>
      </c>
      <c r="I4" s="18">
        <f>'Budget Plan '!H4</f>
        <v>0</v>
      </c>
      <c r="J4" s="264">
        <f>IF(RHS!B6&lt;0," ",'Budget Plan '!C6)</f>
        <v>0</v>
      </c>
    </row>
    <row r="5" spans="1:10" s="19" customFormat="1" ht="15" customHeight="1" x14ac:dyDescent="0.35">
      <c r="A5" s="64"/>
      <c r="B5" s="64"/>
      <c r="D5" s="13"/>
      <c r="F5" s="5"/>
      <c r="G5" s="7"/>
    </row>
    <row r="6" spans="1:10" s="19" customFormat="1" ht="15" customHeight="1" x14ac:dyDescent="0.35">
      <c r="C6" s="7"/>
      <c r="E6" s="7" t="s">
        <v>58</v>
      </c>
      <c r="I6" s="262"/>
      <c r="J6" s="263"/>
    </row>
    <row r="7" spans="1:10" s="19" customFormat="1" ht="15" customHeight="1" x14ac:dyDescent="0.35">
      <c r="C7" s="7"/>
      <c r="D7" s="174" t="s">
        <v>5</v>
      </c>
      <c r="E7" s="174"/>
      <c r="F7" s="174" t="s">
        <v>5</v>
      </c>
      <c r="G7" s="267">
        <f>ROUND((H8)-(I8),0)</f>
        <v>365</v>
      </c>
    </row>
    <row r="8" spans="1:10" s="19" customFormat="1" ht="15" customHeight="1" x14ac:dyDescent="0.35">
      <c r="C8" s="7"/>
      <c r="D8" s="52" t="s">
        <v>8</v>
      </c>
      <c r="E8" s="52"/>
      <c r="F8" s="52" t="s">
        <v>8</v>
      </c>
      <c r="G8" s="149">
        <f>1-(G7/H8)</f>
        <v>0</v>
      </c>
      <c r="H8" s="150">
        <v>365</v>
      </c>
      <c r="I8" s="176"/>
    </row>
    <row r="9" spans="1:10" s="19" customFormat="1" ht="15" customHeight="1" x14ac:dyDescent="0.35">
      <c r="A9" s="43"/>
      <c r="B9" s="43"/>
      <c r="D9" s="5"/>
      <c r="E9" s="5"/>
      <c r="F9" s="5"/>
      <c r="G9" s="5"/>
      <c r="H9" s="65" t="s">
        <v>16</v>
      </c>
      <c r="I9" s="65" t="s">
        <v>17</v>
      </c>
      <c r="J9" s="5"/>
    </row>
    <row r="10" spans="1:10" s="19" customFormat="1" ht="15" customHeight="1" x14ac:dyDescent="0.35">
      <c r="A10" s="344" t="s">
        <v>179</v>
      </c>
      <c r="B10" s="344"/>
      <c r="C10" s="345"/>
      <c r="D10" s="65" t="s">
        <v>11</v>
      </c>
      <c r="E10" s="65" t="s">
        <v>9</v>
      </c>
      <c r="F10" s="65" t="s">
        <v>10</v>
      </c>
      <c r="G10" s="66" t="s">
        <v>4</v>
      </c>
      <c r="H10" s="65" t="s">
        <v>13</v>
      </c>
      <c r="I10" s="86" t="s">
        <v>14</v>
      </c>
      <c r="J10" s="65" t="s">
        <v>272</v>
      </c>
    </row>
    <row r="11" spans="1:10" s="19" customFormat="1" ht="15" customHeight="1" x14ac:dyDescent="0.35">
      <c r="A11" s="346" t="s">
        <v>36</v>
      </c>
      <c r="B11" s="347"/>
      <c r="C11" s="348"/>
      <c r="D11" s="50">
        <v>8.69</v>
      </c>
      <c r="E11" s="177"/>
      <c r="F11" s="178"/>
      <c r="G11" s="179">
        <v>2</v>
      </c>
      <c r="H11" s="147">
        <f t="shared" ref="H11:H16" si="0">ROUND(((E11*($H$8/12))/(G11))+(((F11))/(G11)),1)</f>
        <v>0</v>
      </c>
      <c r="I11" s="148">
        <f>ROUND((D11*E11)/(G11),2)</f>
        <v>0</v>
      </c>
      <c r="J11" s="148">
        <f t="shared" ref="J11:J16" si="1">ROUND((D11*F11)/(G11),2)</f>
        <v>0</v>
      </c>
    </row>
    <row r="12" spans="1:10" s="19" customFormat="1" ht="15" customHeight="1" x14ac:dyDescent="0.35">
      <c r="A12" s="346" t="s">
        <v>37</v>
      </c>
      <c r="B12" s="347"/>
      <c r="C12" s="348"/>
      <c r="D12" s="67">
        <v>12.02</v>
      </c>
      <c r="E12" s="180"/>
      <c r="F12" s="180"/>
      <c r="G12" s="181">
        <v>1</v>
      </c>
      <c r="H12" s="147">
        <f t="shared" si="0"/>
        <v>0</v>
      </c>
      <c r="I12" s="148">
        <f>ROUND((D12*E12)/(G12),3)</f>
        <v>0</v>
      </c>
      <c r="J12" s="148">
        <f t="shared" si="1"/>
        <v>0</v>
      </c>
    </row>
    <row r="13" spans="1:10" s="19" customFormat="1" ht="15" customHeight="1" x14ac:dyDescent="0.35">
      <c r="A13" s="349" t="s">
        <v>33</v>
      </c>
      <c r="B13" s="350"/>
      <c r="C13" s="351"/>
      <c r="D13" s="67">
        <v>12.02</v>
      </c>
      <c r="E13" s="182"/>
      <c r="F13" s="182"/>
      <c r="G13" s="183">
        <v>1</v>
      </c>
      <c r="H13" s="147">
        <f t="shared" si="0"/>
        <v>0</v>
      </c>
      <c r="I13" s="148">
        <f>ROUND((D13*E13)/(G13),2)</f>
        <v>0</v>
      </c>
      <c r="J13" s="148">
        <f t="shared" si="1"/>
        <v>0</v>
      </c>
    </row>
    <row r="14" spans="1:10" s="19" customFormat="1" ht="15" customHeight="1" x14ac:dyDescent="0.35">
      <c r="A14" s="352" t="s">
        <v>34</v>
      </c>
      <c r="B14" s="353"/>
      <c r="C14" s="354"/>
      <c r="D14" s="67">
        <v>12.02</v>
      </c>
      <c r="E14" s="182"/>
      <c r="F14" s="182"/>
      <c r="G14" s="183">
        <v>2</v>
      </c>
      <c r="H14" s="147">
        <f>ROUND(((E14*($H$8/12))/(G14))+(((F14))/(G14)),1)</f>
        <v>0</v>
      </c>
      <c r="I14" s="148">
        <f>ROUND((D14*E14)/(G14),2)</f>
        <v>0</v>
      </c>
      <c r="J14" s="148">
        <f>ROUND((D14*F14)/(G14),2)</f>
        <v>0</v>
      </c>
    </row>
    <row r="15" spans="1:10" s="19" customFormat="1" ht="15" customHeight="1" x14ac:dyDescent="0.35">
      <c r="A15" s="355" t="s">
        <v>35</v>
      </c>
      <c r="B15" s="356"/>
      <c r="C15" s="357"/>
      <c r="D15" s="67">
        <v>12.02</v>
      </c>
      <c r="E15" s="182"/>
      <c r="F15" s="182"/>
      <c r="G15" s="183">
        <v>3</v>
      </c>
      <c r="H15" s="147">
        <f>ROUND(((E15*($H$8/12))/(G15))+(((F15))/(G15)),1)</f>
        <v>0</v>
      </c>
      <c r="I15" s="148">
        <f>ROUND((D15*E15)/(G15),2)</f>
        <v>0</v>
      </c>
      <c r="J15" s="148">
        <f>ROUND((D15*F15)/(G15),2)</f>
        <v>0</v>
      </c>
    </row>
    <row r="16" spans="1:10" s="19" customFormat="1" ht="15" customHeight="1" x14ac:dyDescent="0.35">
      <c r="A16" s="346" t="s">
        <v>53</v>
      </c>
      <c r="B16" s="347"/>
      <c r="C16" s="348"/>
      <c r="D16" s="72">
        <v>12.02</v>
      </c>
      <c r="E16" s="168">
        <v>-0.05</v>
      </c>
      <c r="F16" s="169"/>
      <c r="G16" s="170">
        <v>1</v>
      </c>
      <c r="H16" s="147">
        <f t="shared" si="0"/>
        <v>-1.5</v>
      </c>
      <c r="I16" s="148">
        <f>ROUND((D16*E16)/(G16),2)</f>
        <v>-0.6</v>
      </c>
      <c r="J16" s="148">
        <f t="shared" si="1"/>
        <v>0</v>
      </c>
    </row>
    <row r="17" spans="1:12" s="19" customFormat="1" ht="15" customHeight="1" x14ac:dyDescent="0.35">
      <c r="A17" s="346"/>
      <c r="B17" s="347"/>
      <c r="C17" s="348"/>
      <c r="D17" s="73" t="s">
        <v>44</v>
      </c>
      <c r="E17" s="65" t="s">
        <v>45</v>
      </c>
      <c r="F17" s="163" t="s">
        <v>44</v>
      </c>
      <c r="G17" s="164" t="s">
        <v>44</v>
      </c>
      <c r="H17" s="163" t="s">
        <v>44</v>
      </c>
      <c r="I17" s="163" t="s">
        <v>44</v>
      </c>
      <c r="J17" s="163" t="s">
        <v>44</v>
      </c>
    </row>
    <row r="18" spans="1:12" s="19" customFormat="1" ht="15" customHeight="1" x14ac:dyDescent="0.35">
      <c r="A18" s="349" t="s">
        <v>38</v>
      </c>
      <c r="B18" s="350"/>
      <c r="C18" s="351"/>
      <c r="D18" s="67">
        <v>12.02</v>
      </c>
      <c r="E18" s="184"/>
      <c r="F18" s="163" t="s">
        <v>44</v>
      </c>
      <c r="G18" s="183">
        <v>1</v>
      </c>
      <c r="H18" s="147">
        <f>ROUND((E18/G18)*4.33,1)</f>
        <v>0</v>
      </c>
      <c r="I18" s="148">
        <f>ROUND(((D18*E18)/(G18))/7,2)</f>
        <v>0</v>
      </c>
      <c r="J18" s="163" t="s">
        <v>44</v>
      </c>
    </row>
    <row r="19" spans="1:12" s="19" customFormat="1" ht="15" customHeight="1" x14ac:dyDescent="0.35">
      <c r="A19" s="355" t="s">
        <v>39</v>
      </c>
      <c r="B19" s="356"/>
      <c r="C19" s="357"/>
      <c r="D19" s="76">
        <v>12.02</v>
      </c>
      <c r="E19" s="184"/>
      <c r="F19" s="163" t="s">
        <v>44</v>
      </c>
      <c r="G19" s="183">
        <v>3</v>
      </c>
      <c r="H19" s="147">
        <f>ROUND((E19/G19)*4.33,1)</f>
        <v>0</v>
      </c>
      <c r="I19" s="148">
        <f>ROUND(((D19*E19)/(G19))/7,2)</f>
        <v>0</v>
      </c>
      <c r="J19" s="163" t="s">
        <v>44</v>
      </c>
    </row>
    <row r="20" spans="1:12" s="19" customFormat="1" ht="15" customHeight="1" x14ac:dyDescent="0.35">
      <c r="A20" s="350"/>
      <c r="B20" s="350"/>
      <c r="C20" s="351"/>
      <c r="D20" s="76"/>
      <c r="E20" s="65"/>
      <c r="F20" s="65"/>
      <c r="G20" s="77" t="s">
        <v>62</v>
      </c>
      <c r="H20" s="166">
        <f>SUM(H11:H19)</f>
        <v>-1.5</v>
      </c>
      <c r="I20" s="163" t="s">
        <v>44</v>
      </c>
      <c r="J20" s="163" t="s">
        <v>44</v>
      </c>
    </row>
    <row r="21" spans="1:12" s="19" customFormat="1" ht="15" customHeight="1" x14ac:dyDescent="0.35">
      <c r="A21" s="358"/>
      <c r="B21" s="358"/>
      <c r="C21" s="359"/>
      <c r="D21" s="78" t="s">
        <v>44</v>
      </c>
      <c r="E21" s="171" t="s">
        <v>61</v>
      </c>
      <c r="F21" s="172" t="s">
        <v>16</v>
      </c>
      <c r="G21" s="167" t="s">
        <v>44</v>
      </c>
      <c r="H21" s="173" t="s">
        <v>44</v>
      </c>
      <c r="I21" s="165" t="s">
        <v>44</v>
      </c>
      <c r="J21" s="165" t="s">
        <v>44</v>
      </c>
    </row>
    <row r="22" spans="1:12" s="19" customFormat="1" ht="15" customHeight="1" x14ac:dyDescent="0.35">
      <c r="A22" s="339" t="s">
        <v>220</v>
      </c>
      <c r="B22" s="340"/>
      <c r="C22" s="341"/>
      <c r="D22" s="79">
        <v>12.02</v>
      </c>
      <c r="E22" s="185">
        <v>6</v>
      </c>
      <c r="F22" s="185">
        <v>16</v>
      </c>
      <c r="G22" s="185">
        <v>2</v>
      </c>
      <c r="H22" s="151">
        <f>((F22*E22)/G22)/(H8/12)</f>
        <v>1.5780821917808219</v>
      </c>
      <c r="I22" s="148">
        <f>SUM(ROUND(((D22*E22*F22/G22)/365),2))</f>
        <v>1.58</v>
      </c>
      <c r="J22" s="165" t="s">
        <v>44</v>
      </c>
    </row>
    <row r="23" spans="1:12" s="19" customFormat="1" ht="15" customHeight="1" x14ac:dyDescent="0.35">
      <c r="C23" s="49"/>
      <c r="D23" s="50"/>
      <c r="E23" s="50"/>
      <c r="G23" s="52"/>
      <c r="H23" s="80" t="s">
        <v>63</v>
      </c>
      <c r="I23" s="160">
        <f>SUM(I11:I22)</f>
        <v>0.98000000000000009</v>
      </c>
      <c r="J23" s="160">
        <f>SUM(J11:J22)</f>
        <v>0</v>
      </c>
    </row>
    <row r="24" spans="1:12" s="19" customFormat="1" ht="15" customHeight="1" x14ac:dyDescent="0.35">
      <c r="E24" s="174" t="s">
        <v>93</v>
      </c>
      <c r="F24" s="158">
        <f>ROUND(+H20*12/H8,2)</f>
        <v>-0.05</v>
      </c>
    </row>
    <row r="25" spans="1:12" s="19" customFormat="1" ht="15" customHeight="1" x14ac:dyDescent="0.35">
      <c r="A25" s="56"/>
      <c r="B25" s="56"/>
      <c r="C25" s="54"/>
      <c r="F25" s="83"/>
      <c r="G25" s="84"/>
      <c r="H25" s="84"/>
      <c r="I25" s="85" t="s">
        <v>59</v>
      </c>
      <c r="J25" s="152">
        <f>IF(I23&lt;170,((J23*12/365)+I23)*0.1948+16.76, ((J23*12/365)+I23)*0.0648+38.86)</f>
        <v>16.950904000000001</v>
      </c>
    </row>
    <row r="26" spans="1:12" s="19" customFormat="1" ht="15" customHeight="1" x14ac:dyDescent="0.35">
      <c r="G26" s="5"/>
      <c r="H26" s="5" t="s">
        <v>168</v>
      </c>
      <c r="I26" s="50"/>
    </row>
    <row r="27" spans="1:12" s="19" customFormat="1" ht="15" hidden="1" customHeight="1" x14ac:dyDescent="0.35">
      <c r="H27" s="52"/>
      <c r="I27" s="47">
        <f>ROUND(ROUND(ROUND(ROUND(ROUND(ROUND(SUM(ROUND((((J23*12/365)+I23+J25)*1.0288),2))*1.008,2)*1.105,2)*1.0018,2)*1.08,2)*1.03,2)*1.021,2)</f>
        <v>23.39</v>
      </c>
    </row>
    <row r="28" spans="1:12" s="19" customFormat="1" ht="15" customHeight="1" x14ac:dyDescent="0.35">
      <c r="H28" s="52" t="s">
        <v>23</v>
      </c>
      <c r="I28" s="148">
        <f>ROUND(ROUND(ROUND(ROUND(ROUND(I27*1.0096,2)*1.005772,2)*'rate increase'!C2,2)*'rate increase'!C3,2)*'rate increase'!C6,2)</f>
        <v>29.59</v>
      </c>
    </row>
    <row r="29" spans="1:12" s="19" customFormat="1" ht="15" customHeight="1" x14ac:dyDescent="0.35">
      <c r="A29" s="13"/>
      <c r="B29" s="13"/>
      <c r="G29" s="52" t="s">
        <v>29</v>
      </c>
      <c r="H29" s="154">
        <f>G8</f>
        <v>0</v>
      </c>
      <c r="I29" s="153">
        <f>ROUND(((H8*I28)/(G7)-'Budget Plan '!C6),2)</f>
        <v>29.59</v>
      </c>
      <c r="L29" s="258"/>
    </row>
    <row r="30" spans="1:12" s="19" customFormat="1" ht="15" customHeight="1" x14ac:dyDescent="0.35">
      <c r="A30" s="7"/>
      <c r="B30" s="7"/>
      <c r="F30" s="82"/>
      <c r="H30" s="174" t="s">
        <v>30</v>
      </c>
      <c r="I30" s="160">
        <f>IF(I29=17.82,0,I29)</f>
        <v>29.59</v>
      </c>
      <c r="J30" s="44"/>
    </row>
    <row r="31" spans="1:12" s="19" customFormat="1" ht="15" customHeight="1" x14ac:dyDescent="0.35">
      <c r="A31" s="7"/>
      <c r="B31" s="7"/>
      <c r="C31" s="58"/>
      <c r="I31" s="52" t="s">
        <v>12</v>
      </c>
      <c r="J31" s="155">
        <f>SUM(ROUND((I30)*G7/12,2))</f>
        <v>900.03</v>
      </c>
    </row>
    <row r="32" spans="1:12" s="19" customFormat="1" ht="15" customHeight="1" x14ac:dyDescent="0.35">
      <c r="A32" s="1" t="str">
        <f>'Budget Plan '!A24</f>
        <v>Revised 7/1/2025</v>
      </c>
      <c r="C32" s="58"/>
      <c r="I32" s="52" t="s">
        <v>24</v>
      </c>
      <c r="J32" s="175">
        <f>ROUND((I30*G7),2)</f>
        <v>10800.35</v>
      </c>
    </row>
    <row r="33" spans="1:13" ht="15" customHeight="1" x14ac:dyDescent="0.3">
      <c r="A33" s="3" t="s">
        <v>43</v>
      </c>
      <c r="B33" s="2"/>
      <c r="C33" s="8"/>
      <c r="D33" s="23"/>
      <c r="E33" s="23"/>
      <c r="F33" s="23"/>
      <c r="G33" s="22"/>
      <c r="H33" s="24"/>
      <c r="I33" s="24"/>
      <c r="J33" s="25"/>
      <c r="K33" s="23"/>
      <c r="L33" s="4"/>
      <c r="M33" s="4"/>
    </row>
    <row r="34" spans="1:13" ht="15" customHeight="1" x14ac:dyDescent="0.25">
      <c r="A34" s="3" t="s">
        <v>6</v>
      </c>
      <c r="B34" s="11"/>
    </row>
    <row r="35" spans="1:13" ht="15" customHeight="1" x14ac:dyDescent="0.35">
      <c r="A35" s="62"/>
      <c r="B35" s="24"/>
      <c r="C35" s="24"/>
      <c r="D35" s="24"/>
      <c r="E35" s="24"/>
      <c r="F35" s="24"/>
      <c r="G35" s="24"/>
      <c r="H35" s="24"/>
      <c r="I35" s="24"/>
      <c r="J35" s="24"/>
      <c r="K35" s="24"/>
      <c r="L35" s="4"/>
    </row>
    <row r="36" spans="1:13" ht="15" customHeight="1" x14ac:dyDescent="0.3">
      <c r="A36" s="30"/>
      <c r="B36" s="30"/>
      <c r="C36" s="30"/>
      <c r="D36" s="31"/>
      <c r="E36" s="32"/>
      <c r="F36" s="32"/>
      <c r="G36" s="31"/>
      <c r="H36" s="31"/>
      <c r="I36" s="33"/>
      <c r="J36" s="34"/>
      <c r="K36" s="34"/>
      <c r="L36" s="4"/>
    </row>
    <row r="37" spans="1:13" ht="15" customHeight="1" x14ac:dyDescent="0.3">
      <c r="A37" s="30"/>
      <c r="B37" s="30"/>
      <c r="C37" s="30"/>
      <c r="D37" s="31"/>
      <c r="E37" s="32"/>
      <c r="F37" s="32"/>
      <c r="G37" s="31"/>
      <c r="H37" s="31"/>
      <c r="I37" s="35"/>
      <c r="J37" s="34"/>
      <c r="K37" s="34"/>
      <c r="L37" s="4"/>
    </row>
    <row r="38" spans="1:13" ht="15" customHeight="1" x14ac:dyDescent="0.3">
      <c r="A38" s="30"/>
      <c r="B38" s="30"/>
      <c r="C38" s="30"/>
      <c r="D38" s="31"/>
      <c r="E38" s="32"/>
      <c r="F38" s="32"/>
      <c r="G38" s="31"/>
      <c r="H38" s="31"/>
      <c r="I38" s="35"/>
      <c r="J38" s="34"/>
      <c r="K38" s="34"/>
      <c r="L38" s="4"/>
    </row>
    <row r="39" spans="1:13" ht="15" customHeight="1" x14ac:dyDescent="0.3">
      <c r="A39" s="30"/>
      <c r="B39" s="30"/>
      <c r="C39" s="30"/>
      <c r="D39" s="31"/>
      <c r="E39" s="32"/>
      <c r="F39" s="32"/>
      <c r="G39" s="31"/>
      <c r="H39" s="31"/>
      <c r="I39" s="35"/>
      <c r="J39" s="34"/>
      <c r="K39" s="34"/>
      <c r="L39" s="4"/>
    </row>
    <row r="40" spans="1:13" ht="15" customHeight="1" x14ac:dyDescent="0.3">
      <c r="A40" s="30"/>
      <c r="B40" s="30"/>
      <c r="C40" s="30"/>
      <c r="D40" s="31"/>
      <c r="E40" s="32"/>
      <c r="F40" s="32"/>
      <c r="G40" s="31"/>
      <c r="H40" s="31"/>
      <c r="I40" s="35"/>
      <c r="J40" s="34"/>
      <c r="K40" s="34"/>
      <c r="L40" s="4"/>
    </row>
    <row r="41" spans="1:13" ht="15" customHeight="1" x14ac:dyDescent="0.3">
      <c r="A41" s="30"/>
      <c r="B41" s="30"/>
      <c r="C41" s="30"/>
      <c r="D41" s="31"/>
      <c r="E41" s="32"/>
      <c r="F41" s="32"/>
      <c r="G41" s="31"/>
      <c r="H41" s="31"/>
      <c r="I41" s="35"/>
      <c r="J41" s="34"/>
      <c r="K41" s="34"/>
      <c r="L41" s="4"/>
    </row>
    <row r="42" spans="1:13" ht="15" customHeight="1" x14ac:dyDescent="0.3">
      <c r="A42" s="30"/>
      <c r="B42" s="30"/>
      <c r="C42" s="30"/>
      <c r="D42" s="31"/>
      <c r="E42" s="32"/>
      <c r="F42" s="32"/>
      <c r="G42" s="31"/>
      <c r="H42" s="31"/>
      <c r="I42" s="35"/>
      <c r="J42" s="34"/>
      <c r="K42" s="34"/>
      <c r="L42" s="4"/>
    </row>
    <row r="43" spans="1:13" ht="15" customHeight="1" x14ac:dyDescent="0.3">
      <c r="A43" s="30"/>
      <c r="B43" s="30"/>
      <c r="C43" s="30"/>
      <c r="D43" s="31"/>
      <c r="E43" s="32"/>
      <c r="F43" s="32"/>
      <c r="G43" s="31"/>
      <c r="H43" s="31"/>
      <c r="I43" s="35"/>
      <c r="J43" s="34"/>
      <c r="K43" s="34"/>
      <c r="L43" s="4"/>
    </row>
    <row r="44" spans="1:13" ht="15" customHeight="1" x14ac:dyDescent="0.3">
      <c r="A44" s="30"/>
      <c r="B44" s="30"/>
      <c r="C44" s="30"/>
      <c r="D44" s="31"/>
      <c r="E44" s="32"/>
      <c r="F44" s="32"/>
      <c r="G44" s="31"/>
      <c r="H44" s="31"/>
      <c r="I44" s="35"/>
      <c r="J44" s="34"/>
      <c r="K44" s="34"/>
      <c r="L44" s="4"/>
    </row>
    <row r="45" spans="1:13" ht="15" customHeight="1" x14ac:dyDescent="0.3">
      <c r="A45" s="30"/>
      <c r="B45" s="30"/>
      <c r="C45" s="30"/>
      <c r="D45" s="31"/>
      <c r="E45" s="32"/>
      <c r="F45" s="32"/>
      <c r="G45" s="31"/>
      <c r="H45" s="31"/>
      <c r="I45" s="35"/>
      <c r="J45" s="34"/>
      <c r="K45" s="34"/>
      <c r="L45" s="4"/>
    </row>
    <row r="46" spans="1:13" ht="15" customHeight="1" x14ac:dyDescent="0.3">
      <c r="A46" s="30"/>
      <c r="B46" s="30"/>
      <c r="C46" s="30"/>
      <c r="D46" s="31"/>
      <c r="E46" s="32"/>
      <c r="F46" s="32"/>
      <c r="G46" s="31"/>
      <c r="H46" s="31"/>
      <c r="I46" s="33"/>
      <c r="J46" s="34"/>
      <c r="K46" s="34"/>
      <c r="L46" s="4"/>
    </row>
    <row r="47" spans="1:13" ht="15" customHeight="1" x14ac:dyDescent="0.3">
      <c r="A47" s="23"/>
      <c r="B47" s="23"/>
      <c r="C47" s="23"/>
      <c r="D47" s="23"/>
      <c r="E47" s="23"/>
      <c r="F47" s="23"/>
      <c r="G47" s="23"/>
      <c r="H47" s="23"/>
      <c r="I47" s="23"/>
      <c r="J47" s="23"/>
      <c r="K47" s="23"/>
      <c r="M47" s="4"/>
    </row>
    <row r="48" spans="1:13" ht="15" customHeight="1" x14ac:dyDescent="0.25">
      <c r="A48" s="4"/>
      <c r="B48" s="4"/>
      <c r="C48" s="4"/>
      <c r="E48" s="4"/>
      <c r="F48" s="4"/>
      <c r="G48" s="4"/>
      <c r="I48" s="4"/>
      <c r="J48" s="4"/>
      <c r="K48" s="4"/>
      <c r="M48" s="4"/>
    </row>
    <row r="49" spans="1:13" ht="15" customHeight="1" x14ac:dyDescent="0.25">
      <c r="A49" s="21"/>
      <c r="B49" s="343"/>
      <c r="C49" s="343"/>
      <c r="D49" s="36"/>
      <c r="E49" s="6"/>
      <c r="F49" s="343"/>
      <c r="G49" s="343"/>
      <c r="H49" s="36"/>
      <c r="I49" s="6"/>
      <c r="J49" s="343"/>
      <c r="K49" s="343"/>
      <c r="L49" s="36"/>
      <c r="M49" s="4"/>
    </row>
    <row r="50" spans="1:13" ht="15" customHeight="1" x14ac:dyDescent="0.25">
      <c r="A50" s="21"/>
      <c r="B50" s="21"/>
      <c r="C50" s="20"/>
      <c r="D50" s="36"/>
      <c r="E50" s="6"/>
      <c r="F50" s="6"/>
      <c r="G50" s="20"/>
      <c r="H50" s="36"/>
      <c r="I50" s="6"/>
      <c r="K50" s="20"/>
      <c r="L50" s="36"/>
      <c r="M50" s="4"/>
    </row>
    <row r="51" spans="1:13" ht="15" customHeight="1" x14ac:dyDescent="0.25">
      <c r="A51" s="4"/>
      <c r="B51" s="4"/>
      <c r="C51" s="4"/>
      <c r="D51" s="36"/>
      <c r="E51" s="6"/>
      <c r="F51" s="6"/>
      <c r="G51" s="20"/>
      <c r="H51" s="36"/>
      <c r="I51" s="6"/>
      <c r="K51" s="20"/>
      <c r="L51" s="36"/>
      <c r="M51" s="4"/>
    </row>
    <row r="52" spans="1:13" ht="15" customHeight="1" x14ac:dyDescent="0.25">
      <c r="A52" s="21"/>
      <c r="B52" s="343"/>
      <c r="C52" s="343"/>
      <c r="D52" s="36"/>
      <c r="E52" s="36"/>
      <c r="F52" s="36"/>
      <c r="G52" s="36"/>
      <c r="H52" s="36"/>
      <c r="I52" s="36"/>
      <c r="J52" s="36"/>
      <c r="K52" s="6"/>
      <c r="L52" s="6"/>
      <c r="M52" s="4"/>
    </row>
    <row r="53" spans="1:13" ht="15" customHeight="1" x14ac:dyDescent="0.25">
      <c r="A53" s="21"/>
      <c r="B53" s="21"/>
      <c r="C53" s="36"/>
      <c r="D53" s="36"/>
      <c r="E53" s="36"/>
      <c r="F53" s="36"/>
      <c r="G53" s="36"/>
      <c r="H53" s="36"/>
      <c r="I53" s="36"/>
      <c r="J53" s="36"/>
      <c r="K53" s="6"/>
      <c r="L53" s="6"/>
      <c r="M53" s="4"/>
    </row>
    <row r="54" spans="1:13" ht="15" customHeight="1" x14ac:dyDescent="0.25">
      <c r="B54" s="37"/>
      <c r="K54" s="4"/>
      <c r="L54" s="4"/>
      <c r="M54" s="4"/>
    </row>
    <row r="55" spans="1:13" ht="15" customHeight="1" x14ac:dyDescent="0.25">
      <c r="K55" s="4"/>
      <c r="L55" s="4"/>
      <c r="M55" s="4"/>
    </row>
    <row r="56" spans="1:13" ht="15" customHeight="1" x14ac:dyDescent="0.25">
      <c r="K56" s="4"/>
      <c r="L56" s="4"/>
      <c r="M56" s="4"/>
    </row>
    <row r="57" spans="1:13" ht="15" customHeight="1" x14ac:dyDescent="0.25">
      <c r="K57" s="4"/>
      <c r="L57" s="4"/>
      <c r="M57" s="4"/>
    </row>
    <row r="58" spans="1:13" ht="15" customHeight="1" x14ac:dyDescent="0.25">
      <c r="K58" s="4"/>
      <c r="L58" s="4"/>
      <c r="M58" s="4"/>
    </row>
    <row r="59" spans="1:13" ht="15" customHeight="1" x14ac:dyDescent="0.25">
      <c r="K59" s="4"/>
      <c r="L59" s="4"/>
      <c r="M59" s="4"/>
    </row>
    <row r="60" spans="1:13" ht="15" customHeight="1" x14ac:dyDescent="0.25">
      <c r="K60" s="4"/>
      <c r="L60" s="4"/>
      <c r="M60" s="4"/>
    </row>
    <row r="61" spans="1:13" ht="15" customHeight="1" x14ac:dyDescent="0.25">
      <c r="K61" s="4"/>
      <c r="L61" s="4"/>
      <c r="M61" s="4"/>
    </row>
    <row r="62" spans="1:13" ht="15" customHeight="1" x14ac:dyDescent="0.25">
      <c r="K62" s="4"/>
      <c r="L62" s="4"/>
      <c r="M62" s="4"/>
    </row>
    <row r="63" spans="1:13" ht="15" customHeight="1" x14ac:dyDescent="0.25">
      <c r="K63" s="4"/>
      <c r="L63" s="4"/>
      <c r="M63" s="4"/>
    </row>
    <row r="64" spans="1:13" ht="15" customHeight="1" x14ac:dyDescent="0.25">
      <c r="K64" s="4"/>
      <c r="L64" s="4"/>
      <c r="M64" s="4"/>
    </row>
    <row r="65" spans="1:13" ht="15" customHeight="1" x14ac:dyDescent="0.25">
      <c r="K65" s="4"/>
      <c r="L65" s="4"/>
      <c r="M65" s="4"/>
    </row>
    <row r="66" spans="1:13" ht="15" customHeight="1" x14ac:dyDescent="0.25">
      <c r="K66" s="4"/>
      <c r="L66" s="4"/>
      <c r="M66" s="4"/>
    </row>
    <row r="67" spans="1:13" ht="15" customHeight="1" x14ac:dyDescent="0.25">
      <c r="A67" s="11"/>
      <c r="B67" s="11"/>
      <c r="C67" s="38"/>
      <c r="E67" s="3"/>
      <c r="F67" s="4"/>
      <c r="G67" s="4"/>
      <c r="H67" s="4"/>
      <c r="I67" s="9"/>
      <c r="J67" s="4"/>
      <c r="K67" s="4"/>
      <c r="L67" s="4"/>
      <c r="M67" s="4"/>
    </row>
    <row r="68" spans="1:13" ht="15" customHeight="1" x14ac:dyDescent="0.25">
      <c r="A68" s="11"/>
      <c r="B68" s="11"/>
      <c r="C68" s="9"/>
      <c r="D68" s="4"/>
      <c r="E68" s="3"/>
      <c r="F68" s="4"/>
      <c r="G68" s="4"/>
      <c r="H68" s="4"/>
      <c r="I68" s="9"/>
      <c r="J68" s="4"/>
      <c r="K68" s="4"/>
      <c r="L68" s="4"/>
      <c r="M68" s="4"/>
    </row>
    <row r="69" spans="1:13" ht="15" customHeight="1" x14ac:dyDescent="0.25">
      <c r="A69" s="3"/>
      <c r="B69" s="3"/>
      <c r="C69" s="9"/>
      <c r="D69" s="4"/>
      <c r="E69" s="3"/>
      <c r="F69" s="4"/>
      <c r="G69" s="4"/>
      <c r="H69" s="4"/>
      <c r="I69" s="9"/>
      <c r="J69" s="4"/>
      <c r="K69" s="4"/>
      <c r="L69" s="4"/>
      <c r="M69" s="4"/>
    </row>
    <row r="70" spans="1:13" ht="15" customHeight="1" x14ac:dyDescent="0.25">
      <c r="A70" s="3"/>
      <c r="B70" s="3"/>
      <c r="C70" s="9"/>
      <c r="D70" s="39"/>
      <c r="E70" s="3"/>
      <c r="F70" s="4"/>
      <c r="G70" s="4"/>
      <c r="H70" s="4"/>
      <c r="I70" s="9"/>
      <c r="J70" s="4"/>
      <c r="K70" s="4"/>
      <c r="L70" s="4"/>
      <c r="M70" s="4"/>
    </row>
    <row r="71" spans="1:13" ht="15" customHeight="1" x14ac:dyDescent="0.25">
      <c r="C71" s="9"/>
      <c r="D71" s="4"/>
      <c r="G71" s="20"/>
      <c r="H71" s="20"/>
      <c r="I71" s="9"/>
      <c r="J71" s="4"/>
      <c r="K71" s="9"/>
      <c r="L71" s="4"/>
      <c r="M71" s="4"/>
    </row>
    <row r="72" spans="1:13" ht="15" customHeight="1" x14ac:dyDescent="0.25">
      <c r="D72" s="4"/>
      <c r="E72" s="4"/>
      <c r="F72" s="4"/>
      <c r="G72" s="4"/>
      <c r="H72" s="4"/>
      <c r="I72" s="9"/>
      <c r="J72" s="4"/>
      <c r="K72" s="4"/>
      <c r="L72" s="4"/>
      <c r="M72" s="4"/>
    </row>
    <row r="73" spans="1:13" ht="15" customHeight="1" x14ac:dyDescent="0.25">
      <c r="A73" s="3"/>
      <c r="B73" s="3"/>
      <c r="C73" s="9"/>
      <c r="D73" s="4"/>
      <c r="F73" s="6"/>
      <c r="G73" s="4"/>
      <c r="H73" s="4"/>
      <c r="I73" s="9"/>
      <c r="J73" s="4"/>
      <c r="K73" s="4"/>
      <c r="L73" s="4"/>
      <c r="M73" s="4"/>
    </row>
    <row r="74" spans="1:13" ht="15" customHeight="1" x14ac:dyDescent="0.25">
      <c r="A74" s="20"/>
      <c r="B74" s="20"/>
      <c r="C74" s="9"/>
      <c r="D74" s="4"/>
      <c r="E74" s="6"/>
      <c r="F74" s="4"/>
      <c r="G74" s="4"/>
      <c r="H74" s="4"/>
      <c r="I74" s="9"/>
      <c r="J74" s="4"/>
      <c r="K74" s="4"/>
      <c r="L74" s="4"/>
      <c r="M74" s="4"/>
    </row>
    <row r="75" spans="1:13" ht="15" customHeight="1" x14ac:dyDescent="0.25">
      <c r="C75" s="4"/>
      <c r="D75" s="4"/>
      <c r="K75" s="4"/>
      <c r="L75" s="4"/>
      <c r="M75" s="4"/>
    </row>
    <row r="76" spans="1:13" ht="15" customHeight="1" x14ac:dyDescent="0.25">
      <c r="A76" s="4"/>
      <c r="B76" s="4"/>
      <c r="D76" s="4"/>
      <c r="J76" s="4"/>
      <c r="K76" s="4"/>
      <c r="L76" s="4"/>
      <c r="M76" s="4"/>
    </row>
    <row r="77" spans="1:13" ht="15" customHeight="1" x14ac:dyDescent="0.25">
      <c r="A77" s="4"/>
      <c r="B77" s="4"/>
      <c r="C77" s="4"/>
      <c r="D77" s="4"/>
      <c r="J77" s="4"/>
      <c r="K77" s="4"/>
      <c r="L77" s="4"/>
      <c r="M77" s="4"/>
    </row>
    <row r="78" spans="1:13" ht="15" customHeight="1" x14ac:dyDescent="0.25">
      <c r="A78" s="4"/>
      <c r="B78" s="4"/>
      <c r="D78" s="4"/>
      <c r="J78" s="4"/>
      <c r="K78" s="4"/>
      <c r="L78" s="4"/>
      <c r="M78" s="4"/>
    </row>
    <row r="79" spans="1:13" ht="15" customHeight="1" x14ac:dyDescent="0.25">
      <c r="A79" s="4"/>
      <c r="B79" s="4"/>
      <c r="C79" s="4"/>
      <c r="D79" s="4"/>
      <c r="E79" s="4"/>
      <c r="F79" s="4"/>
      <c r="G79" s="4"/>
      <c r="H79" s="4"/>
      <c r="I79" s="4"/>
      <c r="J79" s="4"/>
      <c r="K79" s="4"/>
      <c r="L79" s="4"/>
      <c r="M79" s="4"/>
    </row>
    <row r="80" spans="1:13" ht="15" customHeight="1" x14ac:dyDescent="0.25">
      <c r="A80" s="4"/>
      <c r="B80" s="4"/>
      <c r="C80" s="4"/>
      <c r="D80" s="4"/>
      <c r="E80" s="4"/>
      <c r="F80" s="4"/>
      <c r="G80" s="4"/>
      <c r="H80" s="4"/>
      <c r="I80" s="4"/>
      <c r="J80" s="4"/>
      <c r="K80" s="4"/>
      <c r="L80" s="4"/>
      <c r="M80" s="4"/>
    </row>
    <row r="81" spans="1:13" ht="15" customHeight="1" x14ac:dyDescent="0.25">
      <c r="A81" s="4"/>
      <c r="B81" s="4"/>
      <c r="C81" s="4"/>
      <c r="D81" s="4"/>
      <c r="E81" s="4"/>
      <c r="F81" s="4"/>
      <c r="G81" s="4"/>
      <c r="H81" s="4"/>
      <c r="I81" s="4"/>
      <c r="J81" s="4"/>
      <c r="K81" s="4"/>
      <c r="L81" s="4"/>
      <c r="M81" s="4"/>
    </row>
    <row r="82" spans="1:13" ht="15" customHeight="1" x14ac:dyDescent="0.25">
      <c r="A82" s="4"/>
      <c r="B82" s="4"/>
      <c r="C82" s="4"/>
      <c r="D82" s="4"/>
      <c r="E82" s="4"/>
      <c r="F82" s="4"/>
      <c r="G82" s="4"/>
      <c r="H82" s="4"/>
      <c r="I82" s="4"/>
      <c r="J82" s="4"/>
      <c r="K82" s="4"/>
      <c r="L82" s="4"/>
      <c r="M82" s="4"/>
    </row>
    <row r="83" spans="1:13" ht="15" customHeight="1" x14ac:dyDescent="0.25">
      <c r="A83" s="4"/>
      <c r="B83" s="4"/>
      <c r="C83" s="4"/>
      <c r="D83" s="4"/>
      <c r="E83" s="4"/>
      <c r="F83" s="4"/>
      <c r="G83" s="4"/>
      <c r="H83" s="4"/>
      <c r="I83" s="4"/>
      <c r="J83" s="4"/>
      <c r="K83" s="4"/>
      <c r="L83" s="4"/>
      <c r="M83" s="4"/>
    </row>
    <row r="84" spans="1:13" ht="15" customHeight="1" x14ac:dyDescent="0.25">
      <c r="A84" s="4"/>
      <c r="B84" s="4"/>
      <c r="C84" s="4"/>
      <c r="D84" s="4"/>
      <c r="E84" s="4"/>
      <c r="F84" s="4"/>
      <c r="G84" s="4"/>
      <c r="H84" s="4"/>
      <c r="I84" s="4"/>
      <c r="J84" s="4"/>
      <c r="K84" s="4"/>
      <c r="L84" s="4"/>
      <c r="M84" s="4"/>
    </row>
    <row r="85" spans="1:13" ht="15" customHeight="1" x14ac:dyDescent="0.25">
      <c r="A85" s="4"/>
      <c r="B85" s="4"/>
      <c r="C85" s="4"/>
      <c r="D85" s="4"/>
      <c r="E85" s="4"/>
      <c r="F85" s="4"/>
      <c r="G85" s="4"/>
      <c r="H85" s="4"/>
      <c r="I85" s="4"/>
      <c r="J85" s="4"/>
      <c r="K85" s="4"/>
      <c r="L85" s="4"/>
      <c r="M85" s="4"/>
    </row>
    <row r="86" spans="1:13" ht="15" customHeight="1" x14ac:dyDescent="0.25">
      <c r="A86" s="4"/>
      <c r="B86" s="4"/>
      <c r="C86" s="4"/>
      <c r="D86" s="4"/>
      <c r="E86" s="4"/>
      <c r="F86" s="4"/>
      <c r="G86" s="4"/>
      <c r="H86" s="4"/>
      <c r="I86" s="4"/>
      <c r="J86" s="4"/>
      <c r="K86" s="4"/>
      <c r="L86" s="4"/>
      <c r="M86" s="4"/>
    </row>
    <row r="87" spans="1:13" ht="15" customHeight="1" x14ac:dyDescent="0.25">
      <c r="A87" s="4"/>
      <c r="B87" s="4"/>
      <c r="C87" s="4"/>
      <c r="D87" s="4"/>
      <c r="E87" s="4"/>
      <c r="F87" s="4"/>
      <c r="G87" s="4"/>
      <c r="H87" s="4"/>
      <c r="I87" s="4"/>
      <c r="J87" s="4"/>
      <c r="K87" s="4"/>
      <c r="L87" s="4"/>
      <c r="M87" s="4"/>
    </row>
    <row r="88" spans="1:13" ht="15" customHeight="1" x14ac:dyDescent="0.25">
      <c r="A88" s="4"/>
      <c r="B88" s="4"/>
      <c r="C88" s="4"/>
      <c r="D88" s="4"/>
      <c r="E88" s="4"/>
      <c r="F88" s="4"/>
      <c r="G88" s="4"/>
      <c r="H88" s="4"/>
      <c r="I88" s="4"/>
      <c r="J88" s="4"/>
      <c r="K88" s="4"/>
      <c r="L88" s="4"/>
      <c r="M88" s="4"/>
    </row>
  </sheetData>
  <sheetProtection algorithmName="SHA-512" hashValue="X4O4RKqbvNvKWbAuOI6AcCNTmYmUR7KnFd4SAz7csOSwHDxe+hj13qt934cTFZmtqijWycAf0aE+NT0XCXDIfw==" saltValue="0WHLfKrAyAc4R+f2+foRAg==" spinCount="100000" sheet="1" selectLockedCells="1"/>
  <mergeCells count="19">
    <mergeCell ref="A19:C19"/>
    <mergeCell ref="A20:C20"/>
    <mergeCell ref="A21:C21"/>
    <mergeCell ref="A22:C22"/>
    <mergeCell ref="A1:J1"/>
    <mergeCell ref="A2:J2"/>
    <mergeCell ref="B52:C52"/>
    <mergeCell ref="J49:K49"/>
    <mergeCell ref="F49:G49"/>
    <mergeCell ref="B49:C49"/>
    <mergeCell ref="A10:C10"/>
    <mergeCell ref="A11:C11"/>
    <mergeCell ref="A12:C12"/>
    <mergeCell ref="A13:C13"/>
    <mergeCell ref="A14:C14"/>
    <mergeCell ref="A15:C15"/>
    <mergeCell ref="A16:C16"/>
    <mergeCell ref="A17:C17"/>
    <mergeCell ref="A18:C18"/>
  </mergeCells>
  <phoneticPr fontId="2" type="noConversion"/>
  <printOptions horizontalCentered="1" gridLinesSet="0"/>
  <pageMargins left="0.7" right="0.7" top="0.75" bottom="0.75" header="0.3" footer="0.3"/>
  <pageSetup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K84"/>
  <sheetViews>
    <sheetView showGridLines="0" zoomScaleNormal="100" workbookViewId="0">
      <selection activeCell="E8" sqref="E8"/>
    </sheetView>
  </sheetViews>
  <sheetFormatPr defaultColWidth="10" defaultRowHeight="8.25" x14ac:dyDescent="0.15"/>
  <cols>
    <col min="1" max="1" width="23.59765625" style="12" customWidth="1"/>
    <col min="2" max="2" width="17" style="12" customWidth="1"/>
    <col min="3" max="3" width="34.3984375" style="12" customWidth="1"/>
    <col min="4" max="4" width="23.19921875" style="12" hidden="1" customWidth="1"/>
    <col min="5" max="5" width="28.796875" style="12" customWidth="1"/>
    <col min="6" max="6" width="19" style="12" customWidth="1"/>
    <col min="7" max="7" width="17" style="12" customWidth="1"/>
    <col min="8" max="8" width="17.59765625" style="12" customWidth="1"/>
    <col min="9" max="9" width="17.19921875" style="12" customWidth="1"/>
    <col min="10" max="10" width="28.59765625" style="12" customWidth="1"/>
    <col min="11" max="11" width="20.796875" style="12" customWidth="1"/>
    <col min="12" max="170" width="10" style="12"/>
    <col min="171" max="171" width="2" style="12" customWidth="1"/>
    <col min="172" max="16384" width="10" style="12"/>
  </cols>
  <sheetData>
    <row r="1" spans="1:11" ht="22.5" x14ac:dyDescent="0.45">
      <c r="A1" s="332" t="s">
        <v>82</v>
      </c>
      <c r="B1" s="332"/>
      <c r="C1" s="332"/>
      <c r="D1" s="332"/>
      <c r="E1" s="332"/>
      <c r="F1" s="332"/>
      <c r="G1" s="332"/>
      <c r="H1" s="332"/>
      <c r="I1" s="332"/>
      <c r="J1" s="332"/>
      <c r="K1" s="201"/>
    </row>
    <row r="2" spans="1:11" ht="16.5" customHeight="1" x14ac:dyDescent="0.35">
      <c r="A2" s="342" t="str">
        <f>'Budget Plan '!A2:J2</f>
        <v>FY2026</v>
      </c>
      <c r="B2" s="342"/>
      <c r="C2" s="342"/>
      <c r="D2" s="342"/>
      <c r="E2" s="342"/>
      <c r="F2" s="342"/>
      <c r="G2" s="342"/>
      <c r="H2" s="342"/>
      <c r="I2" s="342"/>
      <c r="J2" s="342"/>
      <c r="K2" s="201"/>
    </row>
    <row r="3" spans="1:11" ht="18" customHeight="1" x14ac:dyDescent="0.35">
      <c r="A3" s="13" t="s">
        <v>42</v>
      </c>
      <c r="B3" s="5"/>
      <c r="C3" s="19"/>
      <c r="E3" s="13" t="s">
        <v>18</v>
      </c>
      <c r="F3" s="19"/>
      <c r="G3" s="5" t="s">
        <v>103</v>
      </c>
      <c r="H3" s="19"/>
      <c r="I3" s="52" t="s">
        <v>104</v>
      </c>
      <c r="J3" s="5" t="s">
        <v>222</v>
      </c>
    </row>
    <row r="4" spans="1:11" ht="18" customHeight="1" x14ac:dyDescent="0.35">
      <c r="A4" s="14">
        <f>'Budget Plan '!A4</f>
        <v>0</v>
      </c>
      <c r="B4" s="17"/>
      <c r="C4" s="19"/>
      <c r="E4" s="16">
        <f>'Budget Plan '!C4</f>
        <v>0</v>
      </c>
      <c r="F4" s="19"/>
      <c r="G4" s="17">
        <f>'Budget Plan '!F4</f>
        <v>0</v>
      </c>
      <c r="H4" s="19"/>
      <c r="I4" s="18">
        <f>'Budget Plan '!H4</f>
        <v>0</v>
      </c>
      <c r="J4" s="264">
        <f>IF('Budget Plan '!C6&lt;0,"  ",'Budget Plan '!C6)</f>
        <v>0</v>
      </c>
    </row>
    <row r="5" spans="1:11" ht="15.75" customHeight="1" x14ac:dyDescent="0.35">
      <c r="I5" s="19"/>
      <c r="J5" s="19"/>
    </row>
    <row r="6" spans="1:11" ht="16.5" x14ac:dyDescent="0.35">
      <c r="A6" s="14" t="s">
        <v>178</v>
      </c>
      <c r="B6" s="203"/>
      <c r="C6" s="19"/>
      <c r="D6" s="5"/>
      <c r="E6" s="5"/>
      <c r="F6" s="5"/>
      <c r="G6" s="5"/>
      <c r="H6" s="5"/>
      <c r="I6" s="5"/>
      <c r="J6" s="5"/>
      <c r="K6" s="4"/>
    </row>
    <row r="7" spans="1:11" ht="16.5" x14ac:dyDescent="0.35">
      <c r="A7" s="14" t="s">
        <v>19</v>
      </c>
      <c r="B7" s="14"/>
      <c r="C7" s="19"/>
      <c r="D7" s="65" t="s">
        <v>11</v>
      </c>
      <c r="E7" s="65" t="s">
        <v>9</v>
      </c>
      <c r="F7" s="65" t="s">
        <v>13</v>
      </c>
      <c r="G7" s="66" t="s">
        <v>4</v>
      </c>
      <c r="H7" s="65" t="s">
        <v>13</v>
      </c>
      <c r="I7" s="65" t="s">
        <v>14</v>
      </c>
      <c r="J7" s="65" t="s">
        <v>15</v>
      </c>
      <c r="K7" s="4"/>
    </row>
    <row r="8" spans="1:11" ht="16.5" x14ac:dyDescent="0.35">
      <c r="A8" s="74" t="s">
        <v>174</v>
      </c>
      <c r="B8" s="75"/>
      <c r="C8" s="68"/>
      <c r="D8" s="76">
        <v>13.06</v>
      </c>
      <c r="E8" s="187"/>
      <c r="F8" s="182">
        <v>0</v>
      </c>
      <c r="G8" s="183">
        <v>1</v>
      </c>
      <c r="H8" s="147">
        <f>ROUND(((E8*(365/12))/(G8))+(((F8))/(G8)),1)</f>
        <v>0</v>
      </c>
      <c r="I8" s="148">
        <f>ROUND((D8*E8)/(G8),2)</f>
        <v>0</v>
      </c>
      <c r="J8" s="148">
        <f>ROUND((D8*F8)/(G8),2)</f>
        <v>0</v>
      </c>
      <c r="K8" s="4"/>
    </row>
    <row r="9" spans="1:11" ht="16.5" x14ac:dyDescent="0.35">
      <c r="A9" s="69" t="s">
        <v>173</v>
      </c>
      <c r="B9" s="70"/>
      <c r="C9" s="71"/>
      <c r="D9" s="76">
        <v>13.06</v>
      </c>
      <c r="E9" s="187"/>
      <c r="F9" s="182"/>
      <c r="G9" s="183">
        <v>2</v>
      </c>
      <c r="H9" s="147">
        <f>ROUND(((E9*(365/12))/(G9))+(((F9))/(G9)),1)</f>
        <v>0</v>
      </c>
      <c r="I9" s="148">
        <f>ROUND((D9*E9)/(G9),2)</f>
        <v>0</v>
      </c>
      <c r="J9" s="148">
        <f>ROUND((D9*F9)/(G9),2)</f>
        <v>0</v>
      </c>
      <c r="K9" s="4"/>
    </row>
    <row r="10" spans="1:11" ht="16.5" hidden="1" x14ac:dyDescent="0.35">
      <c r="A10" s="94"/>
      <c r="B10" s="95"/>
      <c r="C10" s="96"/>
      <c r="D10" s="97"/>
      <c r="E10" s="98"/>
      <c r="F10" s="99"/>
      <c r="G10" s="100"/>
      <c r="H10" s="128"/>
      <c r="I10" s="101"/>
      <c r="J10" s="102"/>
      <c r="K10" s="4"/>
    </row>
    <row r="11" spans="1:11" ht="17.25" hidden="1" thickBot="1" x14ac:dyDescent="0.4">
      <c r="A11" s="74" t="s">
        <v>38</v>
      </c>
      <c r="B11" s="75"/>
      <c r="C11" s="68"/>
      <c r="D11" s="103" t="e">
        <f>12.087*'Budget Plan '!#REF!</f>
        <v>#REF!</v>
      </c>
      <c r="E11" s="104"/>
      <c r="F11" s="105" t="s">
        <v>0</v>
      </c>
      <c r="G11" s="106">
        <v>1</v>
      </c>
      <c r="H11" s="107">
        <f>ROUND((((E11/G11)))*4.33,1)</f>
        <v>0</v>
      </c>
      <c r="I11" s="129" t="e">
        <f>ROUND(((D11*E11)/(G11))/(7),2)</f>
        <v>#REF!</v>
      </c>
      <c r="J11" s="130" t="s">
        <v>44</v>
      </c>
      <c r="K11" s="4"/>
    </row>
    <row r="12" spans="1:11" ht="16.5" x14ac:dyDescent="0.35">
      <c r="A12" s="45"/>
      <c r="B12" s="45"/>
      <c r="C12" s="49"/>
      <c r="D12" s="50"/>
      <c r="E12" s="50"/>
      <c r="F12" s="19"/>
      <c r="G12" s="5"/>
      <c r="H12" s="52" t="s">
        <v>49</v>
      </c>
      <c r="I12" s="160">
        <f>SUM(I8:I9)</f>
        <v>0</v>
      </c>
      <c r="J12" s="160">
        <f>SUM(J8:J11)</f>
        <v>0</v>
      </c>
      <c r="K12" s="4"/>
    </row>
    <row r="13" spans="1:11" ht="16.5" x14ac:dyDescent="0.35">
      <c r="A13" s="19"/>
      <c r="B13" s="19"/>
      <c r="C13" s="19"/>
      <c r="D13" s="19"/>
      <c r="E13" s="19"/>
      <c r="F13" s="19"/>
      <c r="G13" s="19"/>
      <c r="H13" s="19"/>
      <c r="I13" s="19"/>
      <c r="J13" s="19"/>
      <c r="K13" s="4"/>
    </row>
    <row r="14" spans="1:11" ht="16.5" x14ac:dyDescent="0.35">
      <c r="A14" s="108" t="s">
        <v>176</v>
      </c>
      <c r="B14" s="109"/>
      <c r="C14" s="87"/>
      <c r="E14" s="197">
        <f>12.95%</f>
        <v>0.1295</v>
      </c>
      <c r="F14" s="19"/>
      <c r="G14" s="5"/>
      <c r="H14" s="19"/>
      <c r="I14" s="110" t="s">
        <v>46</v>
      </c>
      <c r="J14" s="152">
        <f>ROUND(((I12+J22+J25+(J12/(365/12)))*E14),2)</f>
        <v>0</v>
      </c>
      <c r="K14" s="5"/>
    </row>
    <row r="15" spans="1:11" ht="16.5" x14ac:dyDescent="0.35">
      <c r="A15" s="19"/>
      <c r="B15" s="19"/>
      <c r="C15" s="54"/>
      <c r="E15" s="55"/>
      <c r="F15" s="19"/>
      <c r="G15" s="5"/>
      <c r="H15" s="19"/>
      <c r="I15" s="53"/>
      <c r="J15" s="5"/>
      <c r="K15" s="5"/>
    </row>
    <row r="16" spans="1:11" ht="16.5" x14ac:dyDescent="0.35">
      <c r="A16" s="19"/>
      <c r="B16" s="19"/>
      <c r="C16" s="54"/>
      <c r="E16" s="55"/>
      <c r="F16" s="19"/>
      <c r="G16" s="19"/>
      <c r="H16" s="19"/>
      <c r="I16" s="282" t="s">
        <v>32</v>
      </c>
      <c r="J16" s="158">
        <f>SUM(H8:H11)</f>
        <v>0</v>
      </c>
      <c r="K16" s="280"/>
    </row>
    <row r="17" spans="1:11" ht="16.5" x14ac:dyDescent="0.35">
      <c r="A17" s="56"/>
      <c r="B17" s="56"/>
      <c r="C17" s="54"/>
      <c r="E17" s="19"/>
      <c r="F17" s="19"/>
      <c r="G17" s="19"/>
      <c r="H17" s="55"/>
      <c r="I17" s="19"/>
      <c r="J17" s="111" t="s">
        <v>47</v>
      </c>
      <c r="K17" s="152">
        <f>ROUND(((I12+J14)+((J12*12)/365)),2)</f>
        <v>0</v>
      </c>
    </row>
    <row r="18" spans="1:11" ht="16.5" x14ac:dyDescent="0.35">
      <c r="A18" s="56"/>
      <c r="B18" s="56"/>
      <c r="C18" s="54"/>
      <c r="E18" s="19"/>
      <c r="F18" s="19"/>
      <c r="G18" s="283"/>
      <c r="H18" s="283"/>
      <c r="I18" s="284" t="s">
        <v>64</v>
      </c>
      <c r="J18" s="158">
        <f>ROUND(J16/30.4,2)</f>
        <v>0</v>
      </c>
      <c r="K18" s="281"/>
    </row>
    <row r="19" spans="1:11" ht="16.5" x14ac:dyDescent="0.35">
      <c r="A19" s="14" t="s">
        <v>55</v>
      </c>
      <c r="B19" s="56"/>
      <c r="C19" s="54"/>
      <c r="E19" s="19"/>
      <c r="F19" s="19"/>
      <c r="G19" s="19"/>
      <c r="H19" s="55"/>
      <c r="I19" s="55"/>
      <c r="J19" s="112"/>
      <c r="K19" s="19"/>
    </row>
    <row r="20" spans="1:11" ht="16.5" hidden="1" customHeight="1" x14ac:dyDescent="0.35">
      <c r="A20" s="19"/>
      <c r="B20" s="19"/>
      <c r="C20" s="54"/>
      <c r="E20" s="19"/>
      <c r="F20" s="19"/>
      <c r="G20" s="55"/>
      <c r="H20" s="55"/>
      <c r="I20" s="55"/>
      <c r="J20" s="50"/>
      <c r="K20" s="19"/>
    </row>
    <row r="21" spans="1:11" ht="16.5" hidden="1" customHeight="1" x14ac:dyDescent="0.35">
      <c r="A21" s="7" t="s">
        <v>26</v>
      </c>
      <c r="B21" s="7"/>
      <c r="C21" s="54"/>
      <c r="E21" s="19"/>
      <c r="F21" s="19"/>
      <c r="G21" s="55"/>
      <c r="H21" s="55"/>
      <c r="I21" s="5" t="s">
        <v>28</v>
      </c>
      <c r="J21" s="5" t="s">
        <v>14</v>
      </c>
      <c r="K21" s="19"/>
    </row>
    <row r="22" spans="1:11" ht="16.5" hidden="1" customHeight="1" x14ac:dyDescent="0.35">
      <c r="A22" s="7" t="s">
        <v>27</v>
      </c>
      <c r="B22" s="7"/>
      <c r="C22" s="54"/>
      <c r="E22" s="113">
        <v>0</v>
      </c>
      <c r="F22" s="114"/>
      <c r="G22" s="114"/>
      <c r="H22" s="115"/>
      <c r="I22" s="116">
        <v>0</v>
      </c>
      <c r="J22" s="117">
        <f>ROUND((E22*I22)/(365/12),3)</f>
        <v>0</v>
      </c>
      <c r="K22" s="19"/>
    </row>
    <row r="23" spans="1:11" ht="16.5" hidden="1" customHeight="1" x14ac:dyDescent="0.35">
      <c r="A23" s="118" t="s">
        <v>55</v>
      </c>
      <c r="B23" s="7"/>
      <c r="C23" s="54"/>
      <c r="E23" s="19"/>
      <c r="F23" s="119"/>
      <c r="G23" s="119"/>
      <c r="H23" s="120"/>
      <c r="I23" s="121"/>
      <c r="J23" s="51"/>
      <c r="K23" s="19"/>
    </row>
    <row r="24" spans="1:11" ht="16.5" x14ac:dyDescent="0.35">
      <c r="A24" s="19" t="s">
        <v>56</v>
      </c>
      <c r="B24" s="19"/>
      <c r="C24" s="54"/>
      <c r="E24" s="19"/>
      <c r="F24" s="19"/>
      <c r="G24" s="19"/>
      <c r="H24" s="19"/>
      <c r="I24" s="5"/>
      <c r="J24" s="5" t="s">
        <v>14</v>
      </c>
      <c r="K24" s="19"/>
    </row>
    <row r="25" spans="1:11" ht="16.5" x14ac:dyDescent="0.35">
      <c r="A25" s="19" t="s">
        <v>57</v>
      </c>
      <c r="B25" s="19"/>
      <c r="C25" s="54"/>
      <c r="E25" s="195">
        <v>0</v>
      </c>
      <c r="F25" s="114"/>
      <c r="G25" s="114"/>
      <c r="H25" s="115"/>
      <c r="I25" s="122"/>
      <c r="J25" s="152">
        <f>E25</f>
        <v>0</v>
      </c>
      <c r="K25" s="19"/>
    </row>
    <row r="26" spans="1:11" ht="16.5" x14ac:dyDescent="0.35">
      <c r="A26" s="19"/>
      <c r="B26" s="19"/>
      <c r="C26" s="54"/>
      <c r="E26" s="285" t="s">
        <v>98</v>
      </c>
      <c r="F26" s="285"/>
      <c r="G26" s="285"/>
      <c r="H26" s="285"/>
      <c r="I26" s="285"/>
      <c r="J26" s="285"/>
      <c r="K26" s="19"/>
    </row>
    <row r="27" spans="1:11" ht="16.5" x14ac:dyDescent="0.35">
      <c r="A27" s="19"/>
      <c r="B27" s="19"/>
      <c r="C27" s="54"/>
      <c r="E27" s="289"/>
      <c r="F27" s="289"/>
      <c r="G27" s="289"/>
      <c r="H27" s="289"/>
      <c r="I27" s="289"/>
      <c r="J27" s="289"/>
      <c r="K27" s="19"/>
    </row>
    <row r="28" spans="1:11" ht="16.5" x14ac:dyDescent="0.35">
      <c r="A28" s="19"/>
      <c r="B28" s="19"/>
      <c r="C28" s="54"/>
      <c r="E28" s="297" t="s">
        <v>275</v>
      </c>
      <c r="F28" s="285"/>
      <c r="G28" s="285"/>
      <c r="H28" s="285"/>
      <c r="I28" s="285"/>
      <c r="J28" s="290"/>
      <c r="K28" s="19"/>
    </row>
    <row r="29" spans="1:11" ht="16.5" x14ac:dyDescent="0.35">
      <c r="A29" s="19"/>
      <c r="B29" s="19"/>
      <c r="C29" s="54"/>
      <c r="E29" s="298"/>
      <c r="F29" s="292"/>
      <c r="G29" s="292"/>
      <c r="H29" s="292"/>
      <c r="I29" s="292"/>
      <c r="J29" s="293"/>
      <c r="K29" s="19"/>
    </row>
    <row r="30" spans="1:11" ht="16.5" x14ac:dyDescent="0.35">
      <c r="A30" s="19"/>
      <c r="B30" s="19"/>
      <c r="C30" s="54"/>
      <c r="E30" s="299"/>
      <c r="F30" s="291"/>
      <c r="G30" s="291"/>
      <c r="H30" s="291"/>
      <c r="I30" s="291"/>
      <c r="J30" s="294"/>
      <c r="K30" s="19"/>
    </row>
    <row r="31" spans="1:11" ht="16.5" x14ac:dyDescent="0.35">
      <c r="A31" s="19"/>
      <c r="B31" s="19"/>
      <c r="C31" s="54"/>
      <c r="E31" s="300"/>
      <c r="F31" s="295"/>
      <c r="G31" s="295"/>
      <c r="H31" s="295"/>
      <c r="I31" s="295"/>
      <c r="J31" s="296"/>
      <c r="K31" s="19"/>
    </row>
    <row r="32" spans="1:11" ht="16.5" x14ac:dyDescent="0.35">
      <c r="A32" s="19"/>
      <c r="B32" s="19"/>
      <c r="C32" s="54"/>
      <c r="K32" s="19"/>
    </row>
    <row r="33" spans="1:11" ht="16.5" x14ac:dyDescent="0.35">
      <c r="A33" s="202" t="s">
        <v>177</v>
      </c>
      <c r="B33" s="202"/>
      <c r="C33" s="19"/>
      <c r="E33" s="19"/>
      <c r="F33" s="19"/>
      <c r="G33" s="5"/>
      <c r="H33" s="5"/>
      <c r="I33" s="5"/>
      <c r="J33" s="58"/>
      <c r="K33" s="19"/>
    </row>
    <row r="34" spans="1:11" ht="16.5" x14ac:dyDescent="0.35">
      <c r="A34" s="45" t="s">
        <v>48</v>
      </c>
      <c r="B34" s="45"/>
      <c r="C34" s="19"/>
      <c r="E34" s="197">
        <v>0.1285</v>
      </c>
      <c r="F34" s="19"/>
      <c r="G34" s="58"/>
      <c r="H34" s="52"/>
      <c r="I34" s="52" t="s">
        <v>223</v>
      </c>
      <c r="J34" s="148">
        <f>ROUND((((J12*12)/365)*E34)+(J22*E34)+(J25*E34)+(I12*E34),2)</f>
        <v>0</v>
      </c>
      <c r="K34" s="19"/>
    </row>
    <row r="35" spans="1:11" ht="16.5" x14ac:dyDescent="0.35">
      <c r="A35" s="45" t="s">
        <v>51</v>
      </c>
      <c r="B35" s="45"/>
      <c r="C35" s="19"/>
      <c r="E35" s="197">
        <v>7.9600000000000004E-2</v>
      </c>
      <c r="F35" s="19"/>
      <c r="G35" s="58"/>
      <c r="H35" s="50"/>
      <c r="I35" s="52" t="s">
        <v>50</v>
      </c>
      <c r="J35" s="148">
        <f>ROUND((((J12*12)/365)*E35)+(J22*E35)+(J25*E35)+(I12*E35),2)</f>
        <v>0</v>
      </c>
      <c r="K35" s="19"/>
    </row>
    <row r="36" spans="1:11" ht="16.5" x14ac:dyDescent="0.35">
      <c r="A36" s="19"/>
      <c r="B36" s="19"/>
      <c r="C36" s="19"/>
      <c r="E36" s="19"/>
      <c r="F36" s="19"/>
      <c r="G36" s="19"/>
      <c r="H36" s="52" t="s">
        <v>160</v>
      </c>
      <c r="I36" s="5" t="s">
        <v>2</v>
      </c>
      <c r="J36" s="159">
        <f>SUM(J34+J35)</f>
        <v>0</v>
      </c>
      <c r="K36" s="160">
        <f>IF(J36&gt;31.92,31.92,J36)</f>
        <v>0</v>
      </c>
    </row>
    <row r="37" spans="1:11" ht="14.25" customHeight="1" x14ac:dyDescent="0.35">
      <c r="A37" s="13"/>
      <c r="B37" s="13"/>
      <c r="C37" s="19"/>
      <c r="E37" s="19"/>
      <c r="F37" s="19"/>
      <c r="G37" s="19"/>
      <c r="H37" s="19"/>
      <c r="I37" s="50"/>
      <c r="J37" s="50"/>
      <c r="K37" s="65" t="s">
        <v>97</v>
      </c>
    </row>
    <row r="38" spans="1:11" ht="17.25" customHeight="1" x14ac:dyDescent="0.35">
      <c r="A38" s="19"/>
      <c r="B38" s="19"/>
      <c r="C38" s="19"/>
      <c r="E38" s="19"/>
      <c r="F38" s="19"/>
      <c r="G38" s="19"/>
      <c r="H38" s="5"/>
      <c r="I38" s="5" t="s">
        <v>168</v>
      </c>
      <c r="J38" s="50"/>
      <c r="K38" s="19"/>
    </row>
    <row r="39" spans="1:11" ht="2.25" hidden="1" customHeight="1" x14ac:dyDescent="0.35">
      <c r="A39" s="19"/>
      <c r="B39" s="19"/>
      <c r="C39" s="19"/>
      <c r="E39" s="19"/>
      <c r="F39" s="19"/>
      <c r="G39" s="19"/>
      <c r="H39" s="19"/>
      <c r="I39" s="123"/>
      <c r="J39" s="124">
        <f>ROUND(ROUND(ROUND(ROUND(ROUND(ROUND(IF(ROUND(((K17+K36+ J25)*1.0288),2)&gt;232.65,232.651,ROUND(((K17+K36+J25)*1.0288),2))*1.008,2)*1.105,2)*1.0018,2)*1.08,2)*1.03,2)*1.021,2)</f>
        <v>0</v>
      </c>
      <c r="K39" s="19"/>
    </row>
    <row r="40" spans="1:11" ht="16.5" hidden="1" x14ac:dyDescent="0.35">
      <c r="A40" s="19"/>
      <c r="B40" s="19"/>
      <c r="C40" s="19"/>
      <c r="E40" s="19"/>
      <c r="F40" s="19"/>
      <c r="G40" s="19"/>
      <c r="H40" s="19"/>
      <c r="I40" s="123" t="s">
        <v>159</v>
      </c>
      <c r="J40" s="161">
        <f>ROUND(ROUND(ROUND(ROUND(ROUND(J39*1.0096,2)*1.005772,2)*'rate increase'!C2,2)*'rate increase'!C3,2)*'rate increase'!C6,2)</f>
        <v>0</v>
      </c>
      <c r="K40" s="19"/>
    </row>
    <row r="41" spans="1:11" ht="16.5" x14ac:dyDescent="0.35">
      <c r="A41" s="52"/>
      <c r="B41" s="125"/>
      <c r="C41" s="126"/>
      <c r="E41" s="52"/>
      <c r="F41" s="127"/>
      <c r="G41" s="126"/>
      <c r="H41" s="19"/>
      <c r="I41" s="174" t="s">
        <v>158</v>
      </c>
      <c r="J41" s="196">
        <f>J40-('Budget Plan '!C6)</f>
        <v>0</v>
      </c>
      <c r="K41" s="59"/>
    </row>
    <row r="42" spans="1:11" ht="14.25" x14ac:dyDescent="0.3">
      <c r="A42" s="1" t="str">
        <f>'Budget Plan '!A24</f>
        <v>Revised 7/1/2025</v>
      </c>
      <c r="B42" s="89"/>
      <c r="C42" s="28"/>
      <c r="D42" s="22"/>
      <c r="E42" s="24"/>
      <c r="F42" s="22"/>
      <c r="G42" s="24"/>
      <c r="H42" s="29"/>
      <c r="I42" s="24"/>
      <c r="J42" s="23"/>
      <c r="K42" s="23"/>
    </row>
    <row r="43" spans="1:11" ht="14.25" x14ac:dyDescent="0.3">
      <c r="A43" s="3" t="s">
        <v>43</v>
      </c>
      <c r="B43" s="23"/>
      <c r="C43" s="23"/>
      <c r="D43" s="23"/>
      <c r="E43" s="23"/>
      <c r="F43" s="23"/>
      <c r="G43" s="23"/>
      <c r="H43" s="23"/>
      <c r="I43" s="23"/>
      <c r="J43" s="23"/>
      <c r="K43" s="23"/>
    </row>
    <row r="44" spans="1:11" ht="14.25" x14ac:dyDescent="0.3">
      <c r="A44" s="3" t="s">
        <v>6</v>
      </c>
      <c r="B44" s="24"/>
      <c r="C44" s="24"/>
      <c r="D44" s="24"/>
      <c r="E44" s="24"/>
      <c r="F44" s="24"/>
      <c r="G44" s="24"/>
      <c r="H44" s="24"/>
      <c r="I44" s="24"/>
      <c r="J44" s="24"/>
      <c r="K44" s="24"/>
    </row>
    <row r="45" spans="1:11" ht="14.25" x14ac:dyDescent="0.3">
      <c r="A45" s="37"/>
      <c r="B45" s="30"/>
      <c r="C45" s="30"/>
      <c r="D45" s="90"/>
      <c r="E45" s="32"/>
      <c r="F45" s="32"/>
      <c r="G45" s="31"/>
      <c r="H45" s="31"/>
      <c r="I45" s="33"/>
      <c r="J45" s="91"/>
      <c r="K45" s="91"/>
    </row>
    <row r="46" spans="1:11" ht="16.5" x14ac:dyDescent="0.35">
      <c r="A46" s="62"/>
      <c r="B46" s="30"/>
      <c r="C46" s="30"/>
      <c r="D46" s="90"/>
      <c r="E46" s="32"/>
      <c r="F46" s="32"/>
      <c r="G46" s="31"/>
      <c r="H46" s="31"/>
      <c r="I46" s="35"/>
      <c r="J46" s="91"/>
      <c r="K46" s="91"/>
    </row>
    <row r="47" spans="1:11" ht="14.25" x14ac:dyDescent="0.3">
      <c r="A47" s="30"/>
      <c r="B47" s="30"/>
      <c r="C47" s="30"/>
      <c r="D47" s="90"/>
      <c r="E47" s="32"/>
      <c r="F47" s="32"/>
      <c r="G47" s="31"/>
      <c r="H47" s="31"/>
      <c r="I47" s="35"/>
      <c r="J47" s="91"/>
      <c r="K47" s="91"/>
    </row>
    <row r="48" spans="1:11" ht="14.25" x14ac:dyDescent="0.3">
      <c r="A48" s="30"/>
      <c r="B48" s="30"/>
      <c r="C48" s="30"/>
      <c r="D48" s="90"/>
      <c r="E48" s="32"/>
      <c r="F48" s="32"/>
      <c r="G48" s="31"/>
      <c r="H48" s="31"/>
      <c r="I48" s="35"/>
      <c r="J48" s="91"/>
      <c r="K48" s="91"/>
    </row>
    <row r="49" spans="1:11" ht="14.25" x14ac:dyDescent="0.3">
      <c r="A49" s="30"/>
      <c r="B49" s="30"/>
      <c r="C49" s="30"/>
      <c r="D49" s="31"/>
      <c r="E49" s="32"/>
      <c r="F49" s="32"/>
      <c r="G49" s="31"/>
      <c r="H49" s="31"/>
      <c r="I49" s="35"/>
      <c r="J49" s="91"/>
      <c r="K49" s="91"/>
    </row>
    <row r="50" spans="1:11" ht="14.25" x14ac:dyDescent="0.3">
      <c r="A50" s="30"/>
      <c r="B50" s="30"/>
      <c r="C50" s="30"/>
      <c r="D50" s="31"/>
      <c r="E50" s="32"/>
      <c r="F50" s="32"/>
      <c r="G50" s="31"/>
      <c r="H50" s="31"/>
      <c r="I50" s="35"/>
      <c r="J50" s="91"/>
      <c r="K50" s="91"/>
    </row>
    <row r="51" spans="1:11" ht="14.25" x14ac:dyDescent="0.3">
      <c r="A51" s="30"/>
      <c r="B51" s="30"/>
      <c r="C51" s="30"/>
      <c r="D51" s="31"/>
      <c r="E51" s="32"/>
      <c r="F51" s="32"/>
      <c r="G51" s="31"/>
      <c r="H51" s="31"/>
      <c r="I51" s="35"/>
      <c r="J51" s="91"/>
      <c r="K51" s="91"/>
    </row>
    <row r="52" spans="1:11" ht="14.25" x14ac:dyDescent="0.3">
      <c r="A52" s="30"/>
      <c r="B52" s="30"/>
      <c r="C52" s="30"/>
      <c r="D52" s="31"/>
      <c r="E52" s="32"/>
      <c r="F52" s="32"/>
      <c r="G52" s="31"/>
      <c r="H52" s="31"/>
      <c r="I52" s="35"/>
      <c r="J52" s="91"/>
      <c r="K52" s="91"/>
    </row>
    <row r="53" spans="1:11" ht="14.25" x14ac:dyDescent="0.3">
      <c r="A53" s="30"/>
      <c r="B53" s="30"/>
      <c r="C53" s="30"/>
      <c r="D53" s="31"/>
      <c r="E53" s="32"/>
      <c r="F53" s="32"/>
      <c r="G53" s="31"/>
      <c r="H53" s="31"/>
      <c r="I53" s="35"/>
      <c r="J53" s="91"/>
      <c r="K53" s="91"/>
    </row>
    <row r="54" spans="1:11" ht="14.25" x14ac:dyDescent="0.3">
      <c r="A54" s="30"/>
      <c r="B54" s="30"/>
      <c r="C54" s="30"/>
      <c r="D54" s="31"/>
      <c r="E54" s="32"/>
      <c r="F54" s="32"/>
      <c r="G54" s="31"/>
      <c r="H54" s="31"/>
      <c r="I54" s="35"/>
      <c r="J54" s="91"/>
      <c r="K54" s="91"/>
    </row>
    <row r="55" spans="1:11" ht="14.25" x14ac:dyDescent="0.3">
      <c r="A55" s="30"/>
      <c r="B55" s="30"/>
      <c r="C55" s="30"/>
      <c r="D55" s="31"/>
      <c r="E55" s="32"/>
      <c r="F55" s="32"/>
      <c r="G55" s="31"/>
      <c r="H55" s="31"/>
      <c r="I55" s="33"/>
      <c r="J55" s="91"/>
      <c r="K55" s="91"/>
    </row>
    <row r="56" spans="1:11" ht="12.75" x14ac:dyDescent="0.25">
      <c r="A56" s="4"/>
      <c r="B56" s="4"/>
      <c r="C56" s="4"/>
      <c r="D56" s="4"/>
      <c r="E56" s="4"/>
      <c r="F56" s="4"/>
      <c r="G56" s="4"/>
      <c r="H56" s="4"/>
      <c r="I56" s="4"/>
      <c r="J56" s="4"/>
      <c r="K56" s="4"/>
    </row>
    <row r="57" spans="1:11" ht="12.75" x14ac:dyDescent="0.25">
      <c r="A57" s="4"/>
      <c r="B57" s="4"/>
      <c r="C57" s="4"/>
      <c r="D57" s="4"/>
      <c r="E57" s="4"/>
      <c r="F57" s="4"/>
      <c r="G57" s="4"/>
      <c r="H57" s="4"/>
      <c r="I57" s="4"/>
      <c r="J57" s="4"/>
      <c r="K57" s="4"/>
    </row>
    <row r="58" spans="1:11" ht="12.75" x14ac:dyDescent="0.25">
      <c r="A58" s="21"/>
      <c r="B58" s="21"/>
      <c r="C58" s="92"/>
      <c r="D58" s="6"/>
      <c r="E58" s="6"/>
      <c r="G58" s="92"/>
      <c r="H58" s="6"/>
      <c r="I58" s="6"/>
      <c r="J58" s="4"/>
      <c r="K58" s="92"/>
    </row>
    <row r="59" spans="1:11" ht="12.75" x14ac:dyDescent="0.25">
      <c r="C59" s="36"/>
      <c r="D59" s="36"/>
      <c r="E59" s="36"/>
      <c r="F59" s="36"/>
      <c r="G59" s="36"/>
      <c r="H59" s="36"/>
      <c r="I59" s="36"/>
      <c r="J59" s="36"/>
      <c r="K59" s="6"/>
    </row>
    <row r="60" spans="1:11" ht="12.75" x14ac:dyDescent="0.25">
      <c r="A60" s="4"/>
      <c r="B60" s="4"/>
      <c r="C60" s="4"/>
      <c r="K60" s="4"/>
    </row>
    <row r="61" spans="1:11" ht="12.75" x14ac:dyDescent="0.25">
      <c r="A61" s="21"/>
      <c r="B61" s="21"/>
      <c r="C61" s="92"/>
      <c r="K61" s="4"/>
    </row>
    <row r="62" spans="1:11" ht="12.75" x14ac:dyDescent="0.25">
      <c r="B62" s="21"/>
      <c r="C62" s="36"/>
      <c r="K62" s="4"/>
    </row>
    <row r="63" spans="1:11" ht="12.75" x14ac:dyDescent="0.25">
      <c r="A63" s="37"/>
      <c r="B63" s="37"/>
      <c r="E63" s="3"/>
      <c r="F63" s="4"/>
      <c r="G63" s="4"/>
      <c r="H63" s="4"/>
      <c r="I63" s="9"/>
      <c r="J63" s="4"/>
      <c r="K63" s="4"/>
    </row>
    <row r="64" spans="1:11" ht="12.75" x14ac:dyDescent="0.25">
      <c r="D64" s="4"/>
      <c r="E64" s="3"/>
      <c r="F64" s="4"/>
      <c r="G64" s="4"/>
      <c r="H64" s="4"/>
      <c r="I64" s="9"/>
      <c r="J64" s="4"/>
      <c r="K64" s="4"/>
    </row>
    <row r="65" spans="1:11" ht="12.75" x14ac:dyDescent="0.25">
      <c r="D65" s="4"/>
      <c r="E65" s="3"/>
      <c r="F65" s="4"/>
      <c r="G65" s="4"/>
      <c r="H65" s="4"/>
      <c r="I65" s="9"/>
      <c r="J65" s="4"/>
      <c r="K65" s="4"/>
    </row>
    <row r="66" spans="1:11" ht="12.75" x14ac:dyDescent="0.25">
      <c r="A66" s="3"/>
      <c r="B66" s="3"/>
      <c r="C66" s="9"/>
      <c r="D66" s="39"/>
      <c r="E66" s="3"/>
      <c r="F66" s="4"/>
      <c r="G66" s="4"/>
      <c r="H66" s="4"/>
      <c r="I66" s="9"/>
      <c r="J66" s="4"/>
      <c r="K66" s="4"/>
    </row>
    <row r="67" spans="1:11" ht="12.75" x14ac:dyDescent="0.25">
      <c r="C67" s="9"/>
      <c r="D67" s="4"/>
      <c r="G67" s="20"/>
      <c r="H67" s="20"/>
      <c r="I67" s="9"/>
      <c r="J67" s="4"/>
      <c r="K67" s="9"/>
    </row>
    <row r="68" spans="1:11" ht="12.75" x14ac:dyDescent="0.25">
      <c r="D68" s="4"/>
      <c r="E68" s="4"/>
      <c r="F68" s="4"/>
      <c r="G68" s="4"/>
      <c r="H68" s="4"/>
      <c r="I68" s="9"/>
      <c r="J68" s="4"/>
      <c r="K68" s="4"/>
    </row>
    <row r="69" spans="1:11" ht="12.75" x14ac:dyDescent="0.25">
      <c r="A69" s="3"/>
      <c r="B69" s="3"/>
      <c r="C69" s="9"/>
      <c r="D69" s="4"/>
      <c r="F69" s="6"/>
      <c r="G69" s="4"/>
      <c r="H69" s="4"/>
      <c r="I69" s="9"/>
      <c r="J69" s="4"/>
      <c r="K69" s="4"/>
    </row>
    <row r="70" spans="1:11" ht="12.75" x14ac:dyDescent="0.25">
      <c r="A70" s="20"/>
      <c r="B70" s="20"/>
      <c r="C70" s="9"/>
      <c r="D70" s="4"/>
      <c r="E70" s="6"/>
      <c r="F70" s="4"/>
      <c r="G70" s="4"/>
      <c r="H70" s="4"/>
      <c r="I70" s="9"/>
      <c r="J70" s="4"/>
      <c r="K70" s="4"/>
    </row>
    <row r="71" spans="1:11" ht="9" customHeight="1" x14ac:dyDescent="0.25">
      <c r="C71" s="4"/>
      <c r="D71" s="4"/>
      <c r="K71" s="4"/>
    </row>
    <row r="72" spans="1:11" ht="12" customHeight="1" x14ac:dyDescent="0.25">
      <c r="A72" s="4"/>
      <c r="B72" s="4"/>
      <c r="D72" s="4"/>
      <c r="J72" s="4"/>
      <c r="K72" s="4"/>
    </row>
    <row r="73" spans="1:11" ht="12.95" customHeight="1" x14ac:dyDescent="0.25">
      <c r="A73" s="4"/>
      <c r="B73" s="4"/>
      <c r="C73" s="4"/>
      <c r="D73" s="4"/>
      <c r="J73" s="4"/>
      <c r="K73" s="4"/>
    </row>
    <row r="74" spans="1:11" ht="12.75" x14ac:dyDescent="0.25">
      <c r="A74" s="4"/>
      <c r="B74" s="4"/>
      <c r="D74" s="4"/>
      <c r="J74" s="4"/>
      <c r="K74" s="4"/>
    </row>
    <row r="75" spans="1:11" ht="12.75" x14ac:dyDescent="0.25">
      <c r="A75" s="4"/>
      <c r="B75" s="4"/>
      <c r="C75" s="4"/>
      <c r="D75" s="4"/>
      <c r="E75" s="4"/>
      <c r="F75" s="4"/>
      <c r="G75" s="4"/>
      <c r="H75" s="4"/>
      <c r="I75" s="4"/>
      <c r="J75" s="4"/>
      <c r="K75" s="4"/>
    </row>
    <row r="76" spans="1:11" ht="12.75" x14ac:dyDescent="0.25">
      <c r="A76" s="4"/>
      <c r="B76" s="4"/>
      <c r="C76" s="4"/>
      <c r="D76" s="4"/>
      <c r="E76" s="4"/>
      <c r="F76" s="4"/>
      <c r="G76" s="4"/>
      <c r="H76" s="4"/>
      <c r="I76" s="4"/>
      <c r="J76" s="4"/>
      <c r="K76" s="4"/>
    </row>
    <row r="77" spans="1:11" ht="12.75" x14ac:dyDescent="0.25">
      <c r="A77" s="4"/>
      <c r="B77" s="4"/>
      <c r="C77" s="4"/>
      <c r="D77" s="4"/>
      <c r="E77" s="4"/>
      <c r="F77" s="4"/>
      <c r="G77" s="4"/>
      <c r="H77" s="4"/>
      <c r="I77" s="4"/>
      <c r="J77" s="4"/>
      <c r="K77" s="4"/>
    </row>
    <row r="78" spans="1:11" ht="12.75" x14ac:dyDescent="0.25">
      <c r="A78" s="4"/>
      <c r="B78" s="4"/>
      <c r="C78" s="4"/>
      <c r="D78" s="4"/>
      <c r="E78" s="4"/>
      <c r="F78" s="4"/>
      <c r="G78" s="4"/>
      <c r="H78" s="4"/>
      <c r="I78" s="4"/>
      <c r="J78" s="4"/>
      <c r="K78" s="4"/>
    </row>
    <row r="79" spans="1:11" ht="12.75" x14ac:dyDescent="0.25">
      <c r="A79" s="4"/>
      <c r="B79" s="4"/>
      <c r="C79" s="4"/>
      <c r="D79" s="4"/>
      <c r="E79" s="4"/>
      <c r="F79" s="4"/>
      <c r="G79" s="4"/>
      <c r="H79" s="4"/>
      <c r="I79" s="4"/>
      <c r="J79" s="4"/>
      <c r="K79" s="4"/>
    </row>
    <row r="80" spans="1:11" ht="12.75" x14ac:dyDescent="0.25">
      <c r="A80" s="4"/>
      <c r="B80" s="4"/>
      <c r="C80" s="4"/>
      <c r="D80" s="4"/>
      <c r="E80" s="4"/>
      <c r="F80" s="4"/>
      <c r="G80" s="4"/>
      <c r="H80" s="4"/>
      <c r="I80" s="4"/>
      <c r="J80" s="4"/>
      <c r="K80" s="4"/>
    </row>
    <row r="81" spans="1:11" ht="12.75" x14ac:dyDescent="0.25">
      <c r="A81" s="4"/>
      <c r="B81" s="4"/>
      <c r="C81" s="4"/>
      <c r="D81" s="4"/>
      <c r="E81" s="4"/>
      <c r="F81" s="4"/>
      <c r="G81" s="4"/>
      <c r="H81" s="4"/>
      <c r="I81" s="4"/>
      <c r="J81" s="4"/>
      <c r="K81" s="4"/>
    </row>
    <row r="82" spans="1:11" ht="12.75" x14ac:dyDescent="0.25">
      <c r="A82" s="4"/>
      <c r="B82" s="4"/>
      <c r="C82" s="4"/>
      <c r="D82" s="4"/>
      <c r="E82" s="4"/>
      <c r="F82" s="4"/>
      <c r="G82" s="4"/>
      <c r="H82" s="4"/>
      <c r="I82" s="4"/>
      <c r="J82" s="4"/>
      <c r="K82" s="4"/>
    </row>
    <row r="83" spans="1:11" ht="12.75" x14ac:dyDescent="0.25">
      <c r="A83" s="4"/>
      <c r="B83" s="4"/>
      <c r="C83" s="4"/>
      <c r="D83" s="4"/>
      <c r="E83" s="4"/>
      <c r="F83" s="4"/>
      <c r="G83" s="4"/>
      <c r="H83" s="4"/>
      <c r="I83" s="4"/>
      <c r="J83" s="4"/>
      <c r="K83" s="4"/>
    </row>
    <row r="84" spans="1:11" ht="12.75" x14ac:dyDescent="0.25">
      <c r="A84" s="4"/>
      <c r="B84" s="4"/>
      <c r="C84" s="4"/>
      <c r="D84" s="4"/>
      <c r="E84" s="4"/>
      <c r="F84" s="4"/>
      <c r="G84" s="4"/>
      <c r="H84" s="4"/>
      <c r="I84" s="4"/>
      <c r="J84" s="4"/>
      <c r="K84" s="4"/>
    </row>
  </sheetData>
  <sheetProtection algorithmName="SHA-512" hashValue="LlyyFtFvKPnD9cc1hr2kFkpxCFxyyNocv8KFZ7/2M6jTXK6vgV6UdEHDKnPZCajjTC5hdbpWCuQ/Ar2U0AyQWg==" saltValue="UOoKS5wEWuBNcGgUYDEQJQ==" spinCount="100000" sheet="1" selectLockedCells="1"/>
  <mergeCells count="2">
    <mergeCell ref="A1:J1"/>
    <mergeCell ref="A2:J2"/>
  </mergeCells>
  <phoneticPr fontId="2" type="noConversion"/>
  <printOptions horizontalCentered="1" gridLinesSet="0"/>
  <pageMargins left="0.7" right="0.7" top="0.75" bottom="0.75" header="0.3" footer="0.3"/>
  <pageSetup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A1:L1325"/>
  <sheetViews>
    <sheetView showGridLines="0" zoomScaleNormal="100" workbookViewId="0">
      <selection activeCell="H6" sqref="H6"/>
    </sheetView>
  </sheetViews>
  <sheetFormatPr defaultColWidth="10" defaultRowHeight="28.5" customHeight="1" x14ac:dyDescent="0.35"/>
  <cols>
    <col min="1" max="1" width="19.796875" style="19" customWidth="1"/>
    <col min="2" max="2" width="35" style="19" customWidth="1"/>
    <col min="3" max="3" width="6.796875" style="19" customWidth="1"/>
    <col min="4" max="4" width="31.3984375" style="19" hidden="1" customWidth="1"/>
    <col min="5" max="5" width="31" style="19" customWidth="1"/>
    <col min="6" max="6" width="21.59765625" style="19" customWidth="1"/>
    <col min="7" max="7" width="18.3984375" style="19" customWidth="1"/>
    <col min="8" max="8" width="18.59765625" style="19" customWidth="1"/>
    <col min="9" max="9" width="20" style="19" customWidth="1"/>
    <col min="10" max="10" width="25" style="19" customWidth="1"/>
    <col min="11" max="190" width="10" style="19"/>
    <col min="191" max="191" width="2" style="19" customWidth="1"/>
    <col min="192" max="16384" width="10" style="19"/>
  </cols>
  <sheetData>
    <row r="1" spans="1:10" ht="28.5" customHeight="1" x14ac:dyDescent="0.45">
      <c r="A1" s="332" t="s">
        <v>83</v>
      </c>
      <c r="B1" s="332"/>
      <c r="C1" s="332"/>
      <c r="D1" s="332"/>
      <c r="E1" s="332"/>
      <c r="F1" s="332"/>
      <c r="G1" s="332"/>
      <c r="H1" s="332"/>
      <c r="I1" s="332"/>
      <c r="J1" s="332"/>
    </row>
    <row r="2" spans="1:10" ht="15" customHeight="1" x14ac:dyDescent="0.35">
      <c r="A2" s="342" t="str">
        <f>'Budget Plan '!A2:J2</f>
        <v>FY2026</v>
      </c>
      <c r="B2" s="342"/>
      <c r="C2" s="342"/>
      <c r="D2" s="342"/>
      <c r="E2" s="342"/>
      <c r="F2" s="342"/>
      <c r="G2" s="342"/>
      <c r="H2" s="342"/>
      <c r="I2" s="342"/>
      <c r="J2" s="342"/>
    </row>
    <row r="3" spans="1:10" ht="15" customHeight="1" x14ac:dyDescent="0.35">
      <c r="A3" s="13" t="s">
        <v>22</v>
      </c>
      <c r="B3" s="5"/>
      <c r="C3" s="5"/>
      <c r="E3" s="13" t="s">
        <v>18</v>
      </c>
      <c r="G3" s="7" t="s">
        <v>103</v>
      </c>
      <c r="I3" s="7" t="s">
        <v>104</v>
      </c>
    </row>
    <row r="4" spans="1:10" ht="15" customHeight="1" x14ac:dyDescent="0.35">
      <c r="A4" s="14">
        <f>'Budget Plan '!A4</f>
        <v>0</v>
      </c>
      <c r="B4" s="17"/>
      <c r="C4" s="5"/>
      <c r="E4" s="16">
        <f>'Budget Plan '!C4</f>
        <v>0</v>
      </c>
      <c r="G4" s="17">
        <f>'Budget Plan '!F4</f>
        <v>0</v>
      </c>
      <c r="I4" s="18">
        <f>'Budget Plan '!H4</f>
        <v>0</v>
      </c>
    </row>
    <row r="5" spans="1:10" ht="15" customHeight="1" x14ac:dyDescent="0.35"/>
    <row r="6" spans="1:10" ht="15" customHeight="1" x14ac:dyDescent="0.35">
      <c r="E6" s="333" t="s">
        <v>5</v>
      </c>
      <c r="F6" s="333"/>
      <c r="G6" s="333"/>
      <c r="H6" s="186"/>
    </row>
    <row r="7" spans="1:10" ht="15" customHeight="1" x14ac:dyDescent="0.35">
      <c r="A7" s="14" t="s">
        <v>175</v>
      </c>
      <c r="B7" s="14"/>
      <c r="C7" s="43"/>
      <c r="D7" s="5" t="s">
        <v>11</v>
      </c>
      <c r="E7" s="5" t="s">
        <v>9</v>
      </c>
      <c r="F7" s="5" t="s">
        <v>10</v>
      </c>
      <c r="G7" s="5" t="s">
        <v>4</v>
      </c>
      <c r="H7" s="5" t="s">
        <v>13</v>
      </c>
      <c r="I7" s="5" t="s">
        <v>14</v>
      </c>
      <c r="J7" s="5" t="s">
        <v>15</v>
      </c>
    </row>
    <row r="8" spans="1:10" ht="15" customHeight="1" x14ac:dyDescent="0.35">
      <c r="A8" s="45" t="s">
        <v>52</v>
      </c>
      <c r="B8" s="45"/>
      <c r="C8" s="45"/>
      <c r="D8" s="46">
        <v>17.52</v>
      </c>
      <c r="E8" s="187"/>
      <c r="F8" s="182"/>
      <c r="G8" s="188">
        <v>1</v>
      </c>
      <c r="H8" s="147">
        <f>ROUND(((E8*(H6/12))/(G8))+(((F8))/(G8)),1)</f>
        <v>0</v>
      </c>
      <c r="I8" s="156">
        <f>(D8*E8)/(G8)</f>
        <v>0</v>
      </c>
      <c r="J8" s="148">
        <f>ROUND((D8*F8)/(G8),2)</f>
        <v>0</v>
      </c>
    </row>
    <row r="9" spans="1:10" ht="15" customHeight="1" x14ac:dyDescent="0.35">
      <c r="A9" s="45" t="s">
        <v>52</v>
      </c>
      <c r="B9" s="45"/>
      <c r="C9" s="45"/>
      <c r="D9" s="46">
        <v>17.52</v>
      </c>
      <c r="E9" s="189"/>
      <c r="F9" s="182"/>
      <c r="G9" s="188">
        <v>6</v>
      </c>
      <c r="H9" s="147">
        <f>ROUND(((E9*(H6/12))/(G9))+(((F9))/(G9)),1)</f>
        <v>0</v>
      </c>
      <c r="I9" s="156">
        <f>(D9*E9)/(G9)</f>
        <v>0</v>
      </c>
      <c r="J9" s="148">
        <f>ROUND((D9*F9)/(G9),2)</f>
        <v>0</v>
      </c>
    </row>
    <row r="10" spans="1:10" ht="15" customHeight="1" x14ac:dyDescent="0.35">
      <c r="A10" s="45" t="s">
        <v>52</v>
      </c>
      <c r="B10" s="45"/>
      <c r="C10" s="45"/>
      <c r="D10" s="46">
        <v>17.52</v>
      </c>
      <c r="E10" s="184"/>
      <c r="F10" s="182"/>
      <c r="G10" s="188">
        <v>3</v>
      </c>
      <c r="H10" s="147">
        <f>ROUND(((E10*(H6/12))/(G10))+(((F10))/(G10)),1)</f>
        <v>0</v>
      </c>
      <c r="I10" s="156">
        <f>(D10*E10)/(G10)</f>
        <v>0</v>
      </c>
      <c r="J10" s="148">
        <f>ROUND((D10*F10)/(G10),2)</f>
        <v>0</v>
      </c>
    </row>
    <row r="11" spans="1:10" ht="15" customHeight="1" x14ac:dyDescent="0.35">
      <c r="A11" s="45" t="s">
        <v>52</v>
      </c>
      <c r="B11" s="45"/>
      <c r="C11" s="45"/>
      <c r="D11" s="48">
        <v>17.52</v>
      </c>
      <c r="E11" s="190"/>
      <c r="F11" s="182"/>
      <c r="G11" s="188">
        <v>4</v>
      </c>
      <c r="H11" s="147">
        <f>ROUND(((E11*(H6/12))/(G11))+(((F11))/(G11)),1)</f>
        <v>0</v>
      </c>
      <c r="I11" s="157">
        <f>(D11*E11)/(G11)</f>
        <v>0</v>
      </c>
      <c r="J11" s="148">
        <f>ROUND((D11*F11)/(G11),2)</f>
        <v>0</v>
      </c>
    </row>
    <row r="12" spans="1:10" ht="15" customHeight="1" x14ac:dyDescent="0.35">
      <c r="D12" s="50"/>
      <c r="E12" s="50"/>
      <c r="F12" s="5"/>
      <c r="G12" s="52" t="s">
        <v>60</v>
      </c>
      <c r="H12" s="191">
        <f>SUM(H8:H11)</f>
        <v>0</v>
      </c>
      <c r="I12" s="160">
        <f>SUM(I8:I11)</f>
        <v>0</v>
      </c>
      <c r="J12" s="193">
        <f>SUM(J8:J11)</f>
        <v>0</v>
      </c>
    </row>
    <row r="13" spans="1:10" ht="15" customHeight="1" x14ac:dyDescent="0.35">
      <c r="E13" s="174" t="s">
        <v>93</v>
      </c>
      <c r="F13" s="158">
        <f>IFERROR(ROUND(+H12*12/H6,2),0)</f>
        <v>0</v>
      </c>
      <c r="G13" s="5"/>
      <c r="H13" s="53"/>
      <c r="I13" s="44"/>
      <c r="J13" s="50"/>
    </row>
    <row r="14" spans="1:10" ht="15" customHeight="1" x14ac:dyDescent="0.35">
      <c r="D14" s="52"/>
      <c r="E14" s="53"/>
      <c r="F14" s="5"/>
      <c r="G14" s="5"/>
      <c r="H14" s="53"/>
      <c r="I14" s="44"/>
      <c r="J14" s="50"/>
    </row>
    <row r="15" spans="1:10" ht="15" customHeight="1" x14ac:dyDescent="0.35">
      <c r="A15" s="56"/>
      <c r="B15" s="56"/>
      <c r="C15" s="56"/>
      <c r="E15" s="83"/>
      <c r="F15" s="84"/>
      <c r="G15" s="87"/>
      <c r="H15" s="85" t="s">
        <v>59</v>
      </c>
      <c r="I15" s="152">
        <f>IFERROR(((($J$12*12/$H$6)+I12)*0.335+6.84),0)</f>
        <v>0</v>
      </c>
    </row>
    <row r="16" spans="1:10" ht="15" customHeight="1" x14ac:dyDescent="0.35">
      <c r="G16" s="5"/>
      <c r="H16" s="5" t="s">
        <v>168</v>
      </c>
      <c r="I16" s="51"/>
    </row>
    <row r="17" spans="1:12" ht="15" customHeight="1" x14ac:dyDescent="0.35">
      <c r="G17" s="5"/>
      <c r="H17" s="174" t="s">
        <v>31</v>
      </c>
      <c r="I17" s="194">
        <f>IFERROR(ROUND(ROUND(ROUND(ROUND(ROUND(I18*1.0096,2)*1.005772,2)*'rate increase'!C2,2)*'rate increase'!C3,2)*'rate increase'!C6,2),0)</f>
        <v>0</v>
      </c>
    </row>
    <row r="18" spans="1:12" ht="15" hidden="1" customHeight="1" thickBot="1" x14ac:dyDescent="0.4">
      <c r="H18" s="57"/>
      <c r="I18" s="200" t="e">
        <f>ROUND(ROUND(ROUND(ROUND(ROUND(ROUND(IF(ROUND(((I15+I12+($J$12*12/H6))*1.0288),2)&gt;151.41,151.41,ROUND(((I15+I12+($J$12*12/H6))*1.0288),2))*1.008,2)*1.105,2)*1.0018,2)*1.08,2)*1.03,2)*1.021,2)</f>
        <v>#DIV/0!</v>
      </c>
    </row>
    <row r="19" spans="1:12" ht="15" customHeight="1" x14ac:dyDescent="0.35">
      <c r="I19" s="52" t="s">
        <v>25</v>
      </c>
      <c r="J19" s="175">
        <f>SUM(ROUND((I17*(H6)/12),2))</f>
        <v>0</v>
      </c>
    </row>
    <row r="20" spans="1:12" ht="15" customHeight="1" x14ac:dyDescent="0.35">
      <c r="I20" s="52" t="s">
        <v>24</v>
      </c>
      <c r="J20" s="175">
        <f>ROUND((I17*H6),2)</f>
        <v>0</v>
      </c>
    </row>
    <row r="21" spans="1:12" ht="15" customHeight="1" x14ac:dyDescent="0.35">
      <c r="A21" s="22"/>
      <c r="B21" s="2"/>
      <c r="C21" s="8"/>
      <c r="D21" s="23"/>
      <c r="E21" s="23"/>
      <c r="F21" s="23"/>
      <c r="G21" s="23"/>
      <c r="H21" s="24"/>
      <c r="I21" s="5"/>
      <c r="J21" s="59"/>
    </row>
    <row r="22" spans="1:12" ht="15" customHeight="1" x14ac:dyDescent="0.35">
      <c r="A22" s="1" t="str">
        <f>'Budget Plan '!A24</f>
        <v>Revised 7/1/2025</v>
      </c>
      <c r="B22" s="60"/>
      <c r="C22" s="26"/>
      <c r="D22" s="27"/>
      <c r="E22" s="23"/>
      <c r="F22" s="23"/>
      <c r="G22" s="23"/>
      <c r="H22" s="22"/>
    </row>
    <row r="23" spans="1:12" ht="15" customHeight="1" x14ac:dyDescent="0.35">
      <c r="A23" s="3" t="s">
        <v>43</v>
      </c>
      <c r="B23" s="8"/>
      <c r="C23" s="28"/>
      <c r="D23" s="24"/>
      <c r="E23" s="22"/>
      <c r="F23" s="24"/>
      <c r="G23" s="61"/>
      <c r="H23" s="24"/>
    </row>
    <row r="24" spans="1:12" ht="15" customHeight="1" x14ac:dyDescent="0.35">
      <c r="A24" s="3" t="s">
        <v>6</v>
      </c>
    </row>
    <row r="25" spans="1:12" ht="15" customHeight="1" x14ac:dyDescent="0.35">
      <c r="A25" s="5"/>
      <c r="B25" s="5"/>
      <c r="C25" s="5"/>
      <c r="D25" s="5"/>
      <c r="E25" s="5"/>
      <c r="F25" s="5"/>
      <c r="G25" s="5"/>
      <c r="H25" s="5"/>
      <c r="I25" s="5"/>
      <c r="J25" s="5"/>
      <c r="K25" s="7"/>
      <c r="L25" s="7"/>
    </row>
    <row r="26" spans="1:12" ht="15" customHeight="1" x14ac:dyDescent="0.35">
      <c r="A26" s="62"/>
      <c r="B26" s="30"/>
      <c r="C26" s="30"/>
      <c r="D26" s="32"/>
      <c r="E26" s="32"/>
      <c r="F26" s="31"/>
      <c r="G26" s="31"/>
      <c r="H26" s="34"/>
      <c r="I26" s="34"/>
      <c r="J26" s="8"/>
    </row>
    <row r="27" spans="1:12" ht="15" customHeight="1" x14ac:dyDescent="0.35">
      <c r="A27" s="30"/>
      <c r="B27" s="30"/>
      <c r="C27" s="30"/>
      <c r="D27" s="32"/>
      <c r="E27" s="32"/>
      <c r="F27" s="31"/>
      <c r="G27" s="31"/>
      <c r="H27" s="34"/>
      <c r="I27" s="34"/>
      <c r="J27" s="8"/>
    </row>
    <row r="28" spans="1:12" ht="15" customHeight="1" x14ac:dyDescent="0.35">
      <c r="A28" s="30"/>
      <c r="B28" s="30"/>
      <c r="C28" s="30"/>
      <c r="D28" s="32"/>
      <c r="E28" s="32"/>
      <c r="F28" s="31"/>
      <c r="G28" s="31"/>
      <c r="H28" s="34"/>
      <c r="I28" s="34"/>
      <c r="J28" s="8"/>
    </row>
    <row r="29" spans="1:12" ht="15" customHeight="1" x14ac:dyDescent="0.35">
      <c r="A29" s="30"/>
      <c r="B29" s="30"/>
      <c r="C29" s="30"/>
      <c r="D29" s="32"/>
      <c r="E29" s="32"/>
      <c r="F29" s="31"/>
      <c r="G29" s="31"/>
      <c r="H29" s="34"/>
      <c r="I29" s="34"/>
      <c r="J29" s="8"/>
    </row>
    <row r="30" spans="1:12" ht="15" customHeight="1" x14ac:dyDescent="0.35">
      <c r="A30" s="30"/>
      <c r="B30" s="30"/>
      <c r="C30" s="30"/>
      <c r="D30" s="32"/>
      <c r="E30" s="32"/>
      <c r="F30" s="31"/>
      <c r="G30" s="31"/>
      <c r="H30" s="34"/>
      <c r="I30" s="34"/>
      <c r="J30" s="8"/>
    </row>
    <row r="31" spans="1:12" ht="15" customHeight="1" x14ac:dyDescent="0.35"/>
    <row r="32" spans="1:12" ht="15" customHeight="1" x14ac:dyDescent="0.35"/>
    <row r="33" spans="1:10" ht="15" customHeight="1" x14ac:dyDescent="0.35">
      <c r="A33" s="13"/>
      <c r="B33" s="52"/>
      <c r="C33" s="5"/>
      <c r="D33" s="7"/>
      <c r="E33" s="52"/>
      <c r="F33" s="5"/>
      <c r="H33" s="7"/>
      <c r="J33" s="5"/>
    </row>
    <row r="34" spans="1:10" ht="15" customHeight="1" x14ac:dyDescent="0.35">
      <c r="B34" s="7"/>
      <c r="C34" s="7"/>
      <c r="D34" s="7"/>
      <c r="E34" s="7"/>
      <c r="F34" s="7"/>
      <c r="G34" s="7"/>
      <c r="H34" s="7"/>
      <c r="I34" s="7"/>
      <c r="J34" s="7"/>
    </row>
    <row r="35" spans="1:10" ht="15" customHeight="1" x14ac:dyDescent="0.35"/>
    <row r="36" spans="1:10" ht="15" customHeight="1" x14ac:dyDescent="0.35">
      <c r="A36" s="13"/>
      <c r="B36" s="52"/>
      <c r="C36" s="5"/>
    </row>
    <row r="37" spans="1:10" ht="15" customHeight="1" x14ac:dyDescent="0.35">
      <c r="A37" s="13"/>
      <c r="B37" s="7"/>
    </row>
    <row r="38" spans="1:10" ht="15" customHeight="1" x14ac:dyDescent="0.35"/>
    <row r="39" spans="1:10" ht="15" customHeight="1" x14ac:dyDescent="0.35"/>
    <row r="40" spans="1:10" ht="15" customHeight="1" x14ac:dyDescent="0.35"/>
    <row r="41" spans="1:10" ht="15" customHeight="1" x14ac:dyDescent="0.35"/>
    <row r="42" spans="1:10" ht="15" customHeight="1" x14ac:dyDescent="0.35"/>
    <row r="43" spans="1:10" ht="15" customHeight="1" x14ac:dyDescent="0.35"/>
    <row r="44" spans="1:10" ht="15" customHeight="1" x14ac:dyDescent="0.35"/>
    <row r="45" spans="1:10" ht="15" customHeight="1" x14ac:dyDescent="0.35"/>
    <row r="46" spans="1:10" ht="15" customHeight="1" x14ac:dyDescent="0.35"/>
    <row r="47" spans="1:10" ht="15" customHeight="1" x14ac:dyDescent="0.35"/>
    <row r="48" spans="1:10" ht="15" customHeight="1" x14ac:dyDescent="0.35"/>
    <row r="49" spans="1:1" ht="15" customHeight="1" x14ac:dyDescent="0.35"/>
    <row r="50" spans="1:1" ht="15" customHeight="1" x14ac:dyDescent="0.35"/>
    <row r="51" spans="1:1" ht="15" customHeight="1" x14ac:dyDescent="0.35"/>
    <row r="52" spans="1:1" ht="15" customHeight="1" x14ac:dyDescent="0.35"/>
    <row r="53" spans="1:1" ht="15" customHeight="1" x14ac:dyDescent="0.35"/>
    <row r="54" spans="1:1" ht="15" customHeight="1" x14ac:dyDescent="0.35"/>
    <row r="55" spans="1:1" ht="15" customHeight="1" x14ac:dyDescent="0.35"/>
    <row r="56" spans="1:1" ht="15" customHeight="1" x14ac:dyDescent="0.35"/>
    <row r="57" spans="1:1" ht="15" customHeight="1" x14ac:dyDescent="0.35">
      <c r="A57" s="62"/>
    </row>
    <row r="58" spans="1:1" ht="15" customHeight="1" x14ac:dyDescent="0.35"/>
    <row r="59" spans="1:1" ht="15" customHeight="1" x14ac:dyDescent="0.35"/>
    <row r="60" spans="1:1" ht="15" customHeight="1" x14ac:dyDescent="0.35"/>
    <row r="61" spans="1:1" ht="15" customHeight="1" x14ac:dyDescent="0.35"/>
    <row r="62" spans="1:1" ht="15" customHeight="1" x14ac:dyDescent="0.35"/>
    <row r="63" spans="1:1" ht="15" customHeight="1" x14ac:dyDescent="0.35"/>
    <row r="64" spans="1:1"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row r="1267" ht="15" customHeight="1" x14ac:dyDescent="0.35"/>
    <row r="1268" ht="15" customHeight="1" x14ac:dyDescent="0.35"/>
    <row r="1269" ht="15" customHeight="1" x14ac:dyDescent="0.35"/>
    <row r="1270" ht="15" customHeight="1" x14ac:dyDescent="0.35"/>
    <row r="1271" ht="15" customHeight="1" x14ac:dyDescent="0.35"/>
    <row r="1272" ht="15" customHeight="1" x14ac:dyDescent="0.35"/>
    <row r="1273" ht="15" customHeight="1" x14ac:dyDescent="0.35"/>
    <row r="1274" ht="15" customHeight="1" x14ac:dyDescent="0.35"/>
    <row r="1275" ht="15" customHeight="1" x14ac:dyDescent="0.35"/>
    <row r="1276" ht="15" customHeight="1" x14ac:dyDescent="0.35"/>
    <row r="1277" ht="15" customHeight="1" x14ac:dyDescent="0.35"/>
    <row r="1278" ht="15" customHeight="1" x14ac:dyDescent="0.35"/>
    <row r="1279" ht="15" customHeight="1" x14ac:dyDescent="0.35"/>
    <row r="1280" ht="15" customHeight="1" x14ac:dyDescent="0.35"/>
    <row r="1281" ht="15" customHeight="1" x14ac:dyDescent="0.35"/>
    <row r="1282" ht="15" customHeight="1" x14ac:dyDescent="0.35"/>
    <row r="1283" ht="15" customHeight="1" x14ac:dyDescent="0.35"/>
    <row r="1284" ht="15" customHeight="1" x14ac:dyDescent="0.35"/>
    <row r="1285" ht="15" customHeight="1" x14ac:dyDescent="0.35"/>
    <row r="1286" ht="15" customHeight="1" x14ac:dyDescent="0.35"/>
    <row r="1287" ht="15" customHeight="1" x14ac:dyDescent="0.35"/>
    <row r="1288" ht="15" customHeight="1" x14ac:dyDescent="0.35"/>
    <row r="1289" ht="15" customHeight="1" x14ac:dyDescent="0.35"/>
    <row r="1290" ht="15" customHeight="1" x14ac:dyDescent="0.35"/>
    <row r="1291" ht="15" customHeight="1" x14ac:dyDescent="0.35"/>
    <row r="1292" ht="15" customHeight="1" x14ac:dyDescent="0.35"/>
    <row r="1293" ht="15" customHeight="1" x14ac:dyDescent="0.35"/>
    <row r="1294" ht="15" customHeight="1" x14ac:dyDescent="0.35"/>
    <row r="1295" ht="15" customHeight="1" x14ac:dyDescent="0.35"/>
    <row r="1296" ht="15" customHeight="1" x14ac:dyDescent="0.35"/>
    <row r="1297" ht="15" customHeight="1" x14ac:dyDescent="0.35"/>
    <row r="1298" ht="15" customHeight="1" x14ac:dyDescent="0.35"/>
    <row r="1299" ht="15" customHeight="1" x14ac:dyDescent="0.35"/>
    <row r="1300" ht="15" customHeight="1" x14ac:dyDescent="0.35"/>
    <row r="1301" ht="15" customHeight="1" x14ac:dyDescent="0.35"/>
    <row r="1302" ht="15" customHeight="1" x14ac:dyDescent="0.35"/>
    <row r="1303" ht="15" customHeight="1" x14ac:dyDescent="0.35"/>
    <row r="1304" ht="15" customHeight="1" x14ac:dyDescent="0.35"/>
    <row r="1305" ht="15" customHeight="1" x14ac:dyDescent="0.35"/>
    <row r="1306" ht="15" customHeight="1" x14ac:dyDescent="0.35"/>
    <row r="1307" ht="15" customHeight="1" x14ac:dyDescent="0.35"/>
    <row r="1308" ht="15" customHeight="1" x14ac:dyDescent="0.35"/>
    <row r="1309" ht="15" customHeight="1" x14ac:dyDescent="0.35"/>
    <row r="1310" ht="15" customHeight="1" x14ac:dyDescent="0.35"/>
    <row r="1311" ht="15" customHeight="1" x14ac:dyDescent="0.35"/>
    <row r="1312" ht="15" customHeight="1" x14ac:dyDescent="0.35"/>
    <row r="1313" ht="15" customHeight="1" x14ac:dyDescent="0.35"/>
    <row r="1314" ht="15" customHeight="1" x14ac:dyDescent="0.35"/>
    <row r="1315" ht="15" customHeight="1" x14ac:dyDescent="0.35"/>
    <row r="1316" ht="15" customHeight="1" x14ac:dyDescent="0.35"/>
    <row r="1317" ht="15" customHeight="1" x14ac:dyDescent="0.35"/>
    <row r="1318" ht="15" customHeight="1" x14ac:dyDescent="0.35"/>
    <row r="1319" ht="15" customHeight="1" x14ac:dyDescent="0.35"/>
    <row r="1320" ht="15" customHeight="1" x14ac:dyDescent="0.35"/>
    <row r="1321" ht="15" customHeight="1" x14ac:dyDescent="0.35"/>
    <row r="1322" ht="15" customHeight="1" x14ac:dyDescent="0.35"/>
    <row r="1323" ht="15" customHeight="1" x14ac:dyDescent="0.35"/>
    <row r="1324" ht="15" customHeight="1" x14ac:dyDescent="0.35"/>
    <row r="1325" ht="15" customHeight="1" x14ac:dyDescent="0.35"/>
  </sheetData>
  <sheetProtection algorithmName="SHA-512" hashValue="Mw69VQSnT8uQeUlfVgUxBfVGDm9R+VGWnzN4mrcyTLiaZ6PUoB+5s8WDecmLMagC0axli0qL9rJfw9fIUeY2sw==" saltValue="eeYniCyL7Q314j4gMd9fRQ==" spinCount="100000" sheet="1" selectLockedCells="1"/>
  <mergeCells count="3">
    <mergeCell ref="A1:J1"/>
    <mergeCell ref="A2:J2"/>
    <mergeCell ref="E6:G6"/>
  </mergeCells>
  <phoneticPr fontId="2" type="noConversion"/>
  <printOptions horizontalCentered="1" gridLinesSet="0"/>
  <pageMargins left="0.7" right="0.7" top="0.75" bottom="0.75" header="0.3" footer="0.3"/>
  <pageSetup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6"/>
  <sheetViews>
    <sheetView showGridLines="0" zoomScaleNormal="100" workbookViewId="0">
      <selection activeCell="L11" sqref="L11"/>
    </sheetView>
  </sheetViews>
  <sheetFormatPr defaultColWidth="9.59765625" defaultRowHeight="15" customHeight="1" x14ac:dyDescent="0.15"/>
  <cols>
    <col min="1" max="1" width="22.3984375" style="12" customWidth="1"/>
    <col min="2" max="2" width="23" style="12" customWidth="1"/>
    <col min="3" max="4" width="22.3984375" style="12" customWidth="1"/>
    <col min="5" max="5" width="14.796875" style="12" hidden="1" customWidth="1"/>
    <col min="6" max="6" width="12.796875" style="12" hidden="1" customWidth="1"/>
    <col min="7" max="7" width="17.3984375" style="12" hidden="1" customWidth="1"/>
    <col min="8" max="8" width="14.3984375" style="12" customWidth="1"/>
    <col min="9" max="9" width="5.59765625" style="12" customWidth="1"/>
    <col min="10" max="10" width="25" style="12" customWidth="1"/>
    <col min="11" max="11" width="5.59765625" style="12" customWidth="1"/>
    <col min="12" max="12" width="22.19921875" style="12" customWidth="1"/>
    <col min="13" max="16384" width="9.59765625" style="12"/>
  </cols>
  <sheetData>
    <row r="1" spans="1:13" ht="29.25" customHeight="1" x14ac:dyDescent="0.45">
      <c r="A1" s="217" t="s">
        <v>67</v>
      </c>
      <c r="B1" s="218"/>
      <c r="C1" s="218"/>
      <c r="D1" s="218"/>
      <c r="E1" s="218"/>
      <c r="F1" s="218"/>
      <c r="G1" s="218"/>
      <c r="H1" s="218"/>
      <c r="I1" s="218"/>
      <c r="J1" s="218"/>
      <c r="K1" s="218"/>
      <c r="L1" s="218"/>
    </row>
    <row r="2" spans="1:13" s="19" customFormat="1" ht="15" customHeight="1" x14ac:dyDescent="0.35">
      <c r="A2" s="146"/>
      <c r="B2" s="146"/>
      <c r="C2" s="146"/>
      <c r="D2" s="146" t="s">
        <v>273</v>
      </c>
      <c r="E2" s="146"/>
      <c r="F2" s="146"/>
      <c r="G2" s="146"/>
      <c r="H2" s="146"/>
      <c r="I2" s="146"/>
      <c r="J2" s="146"/>
      <c r="K2" s="146"/>
      <c r="L2" s="219"/>
    </row>
    <row r="3" spans="1:13" s="19" customFormat="1" ht="15" customHeight="1" x14ac:dyDescent="0.35">
      <c r="A3" s="5"/>
      <c r="B3" s="5"/>
      <c r="C3" s="5"/>
      <c r="D3" s="5"/>
      <c r="E3" s="5"/>
      <c r="F3" s="5"/>
      <c r="G3" s="5"/>
      <c r="H3" s="5"/>
      <c r="I3" s="5"/>
      <c r="J3" s="5"/>
      <c r="K3" s="5"/>
      <c r="L3" s="144"/>
    </row>
    <row r="4" spans="1:13" s="19" customFormat="1" ht="15" customHeight="1" x14ac:dyDescent="0.35">
      <c r="A4" s="13" t="s">
        <v>42</v>
      </c>
      <c r="B4" s="5"/>
      <c r="C4" s="5"/>
      <c r="D4" s="13" t="s">
        <v>18</v>
      </c>
      <c r="E4" s="5"/>
      <c r="F4" s="5"/>
      <c r="G4" s="5"/>
      <c r="H4" s="5"/>
      <c r="I4" s="5"/>
      <c r="J4" s="5" t="s">
        <v>103</v>
      </c>
      <c r="K4" s="5"/>
      <c r="L4" s="5" t="s">
        <v>104</v>
      </c>
    </row>
    <row r="5" spans="1:13" s="19" customFormat="1" ht="15" customHeight="1" x14ac:dyDescent="0.35">
      <c r="A5" s="14">
        <f>'Budget Plan '!A4</f>
        <v>0</v>
      </c>
      <c r="B5" s="15"/>
      <c r="D5" s="311">
        <f>'Budget Plan '!C4</f>
        <v>0</v>
      </c>
      <c r="E5" s="311"/>
      <c r="F5" s="311"/>
      <c r="G5" s="311"/>
      <c r="H5" s="311"/>
      <c r="I5" s="93"/>
      <c r="J5" s="17">
        <f>'Budget Plan '!F4</f>
        <v>0</v>
      </c>
      <c r="K5" s="5"/>
      <c r="L5" s="18">
        <f>'Budget Plan '!H4</f>
        <v>0</v>
      </c>
    </row>
    <row r="6" spans="1:13" s="19" customFormat="1" ht="15" customHeight="1" x14ac:dyDescent="0.35">
      <c r="J6" s="145"/>
      <c r="K6" s="145"/>
      <c r="L6" s="145"/>
    </row>
    <row r="7" spans="1:13" s="19" customFormat="1" ht="15" customHeight="1" x14ac:dyDescent="0.35">
      <c r="A7" s="362" t="s">
        <v>68</v>
      </c>
      <c r="B7" s="362"/>
      <c r="C7" s="362"/>
      <c r="D7" s="362"/>
      <c r="E7" s="362"/>
      <c r="F7" s="362"/>
      <c r="G7" s="362"/>
      <c r="J7" s="145"/>
      <c r="K7" s="145"/>
      <c r="L7" s="145"/>
    </row>
    <row r="8" spans="1:13" s="132" customFormat="1" ht="15" customHeight="1" x14ac:dyDescent="0.35">
      <c r="A8" s="131" t="s">
        <v>69</v>
      </c>
      <c r="B8" s="131" t="s">
        <v>70</v>
      </c>
      <c r="C8" s="131" t="s">
        <v>71</v>
      </c>
      <c r="D8" s="131" t="s">
        <v>72</v>
      </c>
      <c r="E8" s="131" t="s">
        <v>73</v>
      </c>
      <c r="F8" s="131" t="s">
        <v>74</v>
      </c>
      <c r="G8" s="131" t="s">
        <v>75</v>
      </c>
      <c r="J8" s="5"/>
      <c r="K8" s="5"/>
    </row>
    <row r="9" spans="1:13" s="19" customFormat="1" ht="15" customHeight="1" x14ac:dyDescent="0.35">
      <c r="A9" s="198">
        <v>1</v>
      </c>
      <c r="B9" s="198">
        <v>240</v>
      </c>
      <c r="C9" s="198">
        <v>4</v>
      </c>
      <c r="D9" s="198">
        <f>B9*4</f>
        <v>960</v>
      </c>
      <c r="E9" s="133">
        <v>8.2100000000000009</v>
      </c>
      <c r="F9" s="133">
        <f>E9*C9</f>
        <v>32.840000000000003</v>
      </c>
      <c r="G9" s="133">
        <f>E9*D9</f>
        <v>7881.6</v>
      </c>
      <c r="H9" s="5"/>
      <c r="I9" s="5"/>
      <c r="J9" s="134"/>
      <c r="K9" s="134"/>
    </row>
    <row r="10" spans="1:13" s="19" customFormat="1" ht="15" customHeight="1" thickBot="1" x14ac:dyDescent="0.4">
      <c r="A10" s="135"/>
      <c r="B10" s="135"/>
      <c r="C10" s="135"/>
      <c r="D10" s="314" t="s">
        <v>40</v>
      </c>
      <c r="E10" s="136">
        <v>3.56</v>
      </c>
      <c r="F10" s="44"/>
      <c r="G10" s="119"/>
    </row>
    <row r="11" spans="1:13" s="19" customFormat="1" ht="15" customHeight="1" thickBot="1" x14ac:dyDescent="0.4">
      <c r="A11" s="135"/>
      <c r="B11" s="135"/>
      <c r="C11" s="135"/>
      <c r="D11" s="135"/>
      <c r="E11" s="44"/>
      <c r="F11" s="44"/>
      <c r="G11" s="119"/>
      <c r="J11" s="7" t="s">
        <v>66</v>
      </c>
      <c r="K11" s="7"/>
      <c r="L11" s="199"/>
    </row>
    <row r="12" spans="1:13" s="19" customFormat="1" ht="15" customHeight="1" x14ac:dyDescent="0.35">
      <c r="A12" s="198">
        <v>2</v>
      </c>
      <c r="B12" s="198">
        <f>B9*2</f>
        <v>480</v>
      </c>
      <c r="C12" s="198">
        <v>8</v>
      </c>
      <c r="D12" s="198">
        <f>B12*4</f>
        <v>1920</v>
      </c>
      <c r="E12" s="137">
        <v>5.89</v>
      </c>
      <c r="F12" s="137">
        <f>E12*C12</f>
        <v>47.12</v>
      </c>
      <c r="G12" s="137">
        <f>E12*D12</f>
        <v>11308.8</v>
      </c>
      <c r="J12" s="138" t="s">
        <v>76</v>
      </c>
      <c r="K12" s="138"/>
      <c r="L12" s="139">
        <v>961</v>
      </c>
      <c r="M12" s="139" t="s">
        <v>77</v>
      </c>
    </row>
    <row r="13" spans="1:13" s="19" customFormat="1" ht="15" customHeight="1" x14ac:dyDescent="0.35">
      <c r="A13" s="135"/>
      <c r="B13" s="135"/>
      <c r="C13" s="135"/>
      <c r="D13" s="135"/>
      <c r="E13" s="44"/>
      <c r="F13" s="44"/>
      <c r="G13" s="119"/>
      <c r="J13" s="138"/>
      <c r="K13" s="138"/>
      <c r="L13" s="139"/>
      <c r="M13" s="139"/>
    </row>
    <row r="14" spans="1:13" s="19" customFormat="1" ht="15" customHeight="1" x14ac:dyDescent="0.35">
      <c r="A14" s="135"/>
      <c r="B14" s="135"/>
      <c r="C14" s="135"/>
      <c r="D14" s="135"/>
      <c r="E14" s="44"/>
      <c r="F14" s="44"/>
      <c r="G14" s="119"/>
      <c r="J14" s="138" t="s">
        <v>78</v>
      </c>
      <c r="K14" s="138"/>
      <c r="L14" s="139">
        <f>IF(L12,L11*E9,((L11-960)*E10)+(960*E9))</f>
        <v>0</v>
      </c>
      <c r="M14" s="139" t="s">
        <v>79</v>
      </c>
    </row>
    <row r="15" spans="1:13" s="19" customFormat="1" ht="15" customHeight="1" x14ac:dyDescent="0.35">
      <c r="A15" s="198">
        <v>3</v>
      </c>
      <c r="B15" s="198">
        <f>B9*3</f>
        <v>720</v>
      </c>
      <c r="C15" s="198">
        <v>12</v>
      </c>
      <c r="D15" s="198">
        <f>B15*4</f>
        <v>2880</v>
      </c>
      <c r="E15" s="88">
        <v>5.1100000000000003</v>
      </c>
      <c r="F15" s="88">
        <f>E15*C15</f>
        <v>61.320000000000007</v>
      </c>
      <c r="G15" s="88">
        <f>E15*D15</f>
        <v>14716.800000000001</v>
      </c>
      <c r="J15" s="138" t="s">
        <v>80</v>
      </c>
      <c r="K15" s="138"/>
      <c r="L15" s="139">
        <f>(K22-1)*(E10*4)+F9</f>
        <v>32.840000000000003</v>
      </c>
      <c r="M15" s="139" t="s">
        <v>79</v>
      </c>
    </row>
    <row r="16" spans="1:13" s="19" customFormat="1" ht="15" customHeight="1" x14ac:dyDescent="0.35">
      <c r="A16" s="135"/>
      <c r="B16" s="135"/>
      <c r="C16" s="135"/>
      <c r="D16" s="135"/>
      <c r="E16" s="44"/>
      <c r="F16" s="44"/>
      <c r="G16" s="119"/>
      <c r="J16" s="138" t="s">
        <v>81</v>
      </c>
      <c r="K16" s="138"/>
      <c r="L16" s="139">
        <f>IFERROR(L15/K21,0)</f>
        <v>8.2100000000000009</v>
      </c>
      <c r="M16" s="139" t="s">
        <v>79</v>
      </c>
    </row>
    <row r="17" spans="1:12" s="19" customFormat="1" ht="15" customHeight="1" x14ac:dyDescent="0.35">
      <c r="A17" s="135"/>
      <c r="B17" s="135"/>
      <c r="C17" s="135"/>
      <c r="D17" s="135"/>
      <c r="E17" s="44"/>
      <c r="F17" s="44"/>
      <c r="G17" s="119"/>
    </row>
    <row r="18" spans="1:12" s="19" customFormat="1" ht="15" customHeight="1" x14ac:dyDescent="0.35">
      <c r="A18" s="198">
        <v>4</v>
      </c>
      <c r="B18" s="198">
        <f>B9*4</f>
        <v>960</v>
      </c>
      <c r="C18" s="198">
        <v>16</v>
      </c>
      <c r="D18" s="198">
        <f>B18*4</f>
        <v>3840</v>
      </c>
      <c r="E18" s="140">
        <v>4.7300000000000004</v>
      </c>
      <c r="F18" s="140">
        <f>E18*C18</f>
        <v>75.680000000000007</v>
      </c>
      <c r="G18" s="140">
        <f>E18*D18</f>
        <v>18163.2</v>
      </c>
    </row>
    <row r="19" spans="1:12" s="19" customFormat="1" ht="15" customHeight="1" x14ac:dyDescent="0.35">
      <c r="A19" s="135"/>
      <c r="B19" s="135"/>
      <c r="C19" s="135"/>
      <c r="D19" s="135"/>
      <c r="E19" s="44"/>
      <c r="F19" s="44"/>
      <c r="G19" s="119"/>
    </row>
    <row r="20" spans="1:12" s="19" customFormat="1" ht="15" customHeight="1" x14ac:dyDescent="0.35">
      <c r="A20" s="135"/>
      <c r="B20" s="135"/>
      <c r="C20" s="135"/>
      <c r="D20" s="135"/>
      <c r="E20" s="44"/>
      <c r="F20" s="44"/>
      <c r="G20" s="119"/>
    </row>
    <row r="21" spans="1:12" s="19" customFormat="1" ht="15" customHeight="1" x14ac:dyDescent="0.35">
      <c r="A21" s="198">
        <v>5</v>
      </c>
      <c r="B21" s="198">
        <f>B9*5</f>
        <v>1200</v>
      </c>
      <c r="C21" s="198">
        <v>20</v>
      </c>
      <c r="D21" s="198">
        <f>B21*4</f>
        <v>4800</v>
      </c>
      <c r="E21" s="81">
        <v>4.5</v>
      </c>
      <c r="F21" s="81">
        <f>E21*C21</f>
        <v>90</v>
      </c>
      <c r="G21" s="81">
        <f>E21*D21</f>
        <v>21600</v>
      </c>
      <c r="J21" s="162" t="s">
        <v>71</v>
      </c>
      <c r="K21" s="363">
        <f>K22*4</f>
        <v>4</v>
      </c>
      <c r="L21" s="364"/>
    </row>
    <row r="22" spans="1:12" s="19" customFormat="1" ht="15" customHeight="1" x14ac:dyDescent="0.35">
      <c r="A22" s="135"/>
      <c r="B22" s="135"/>
      <c r="C22" s="135"/>
      <c r="D22" s="135"/>
      <c r="E22" s="44"/>
      <c r="F22" s="44"/>
      <c r="G22" s="119"/>
      <c r="J22" s="162" t="s">
        <v>69</v>
      </c>
      <c r="K22" s="363">
        <f>IF(L11&lt;=960,1,L11/960)</f>
        <v>1</v>
      </c>
      <c r="L22" s="364"/>
    </row>
    <row r="23" spans="1:12" s="19" customFormat="1" ht="15" customHeight="1" x14ac:dyDescent="0.35">
      <c r="A23" s="135"/>
      <c r="B23" s="135"/>
      <c r="C23" s="135"/>
      <c r="D23" s="135"/>
      <c r="E23" s="44"/>
      <c r="F23" s="44"/>
      <c r="G23" s="119"/>
    </row>
    <row r="24" spans="1:12" s="19" customFormat="1" ht="15" customHeight="1" x14ac:dyDescent="0.35">
      <c r="A24" s="198">
        <v>6</v>
      </c>
      <c r="B24" s="198">
        <f>B9*6</f>
        <v>1440</v>
      </c>
      <c r="C24" s="198">
        <v>24</v>
      </c>
      <c r="D24" s="198">
        <f>B24*4</f>
        <v>5760</v>
      </c>
      <c r="E24" s="143">
        <v>4.34</v>
      </c>
      <c r="F24" s="143">
        <f>E24*C24</f>
        <v>104.16</v>
      </c>
      <c r="G24" s="143">
        <f>E24*D24</f>
        <v>24998.399999999998</v>
      </c>
      <c r="J24" s="162" t="s">
        <v>73</v>
      </c>
      <c r="K24" s="360">
        <f>ROUND(ROUND(ROUND(ROUND(ROUND(L32*1.0096,2)*1.005772,2)*'rate increase'!C2,2)*'rate increase'!C3,2)*'rate increase'!C6,2)</f>
        <v>13.53</v>
      </c>
      <c r="L24" s="361"/>
    </row>
    <row r="25" spans="1:12" s="19" customFormat="1" ht="15" customHeight="1" x14ac:dyDescent="0.35"/>
    <row r="27" spans="1:12" ht="15" customHeight="1" x14ac:dyDescent="0.25">
      <c r="A27" s="1" t="str">
        <f>'Budget Plan '!A24</f>
        <v>Revised 7/1/2025</v>
      </c>
    </row>
    <row r="28" spans="1:12" ht="15" customHeight="1" x14ac:dyDescent="0.25">
      <c r="A28" s="3" t="s">
        <v>43</v>
      </c>
    </row>
    <row r="29" spans="1:12" ht="15" customHeight="1" x14ac:dyDescent="0.35">
      <c r="A29" s="3" t="s">
        <v>6</v>
      </c>
      <c r="J29" s="7"/>
      <c r="K29" s="7"/>
      <c r="L29" s="19"/>
    </row>
    <row r="30" spans="1:12" ht="15" hidden="1" customHeight="1" x14ac:dyDescent="0.35">
      <c r="J30" s="141" t="s">
        <v>75</v>
      </c>
      <c r="K30" s="141"/>
      <c r="L30" s="142">
        <f>ROUND(ROUND(ROUND(ROUND(ROUND(ROUND(IF(L14&lt;=G24,ROUND(L14*1.029,2),ROUND(G24*1.029,2))*1.008,2)*1.105,2)*1.0018,2)*1.08,2)*1.03,2)*1.021,2)</f>
        <v>0</v>
      </c>
    </row>
    <row r="31" spans="1:12" ht="15" hidden="1" customHeight="1" x14ac:dyDescent="0.35">
      <c r="J31" s="141" t="s">
        <v>74</v>
      </c>
      <c r="K31" s="141"/>
      <c r="L31" s="142">
        <f>ROUND(ROUND(ROUND(ROUND(ROUND(ROUND(IF(L15&lt;=F24,ROUND(L15*1.029,2),ROUND(F24*1.029,2))*1.008,2)*1.105,2)*1.0018,2)*1.08,2)*1.03,2)*1.021,2)</f>
        <v>42.83</v>
      </c>
    </row>
    <row r="32" spans="1:12" ht="15" hidden="1" customHeight="1" x14ac:dyDescent="0.35">
      <c r="J32" s="141" t="s">
        <v>73</v>
      </c>
      <c r="K32" s="141"/>
      <c r="L32" s="142">
        <f>ROUND(ROUND(ROUND(ROUND(ROUND(ROUND(IF(L16&gt;=E24,ROUND(L16*1.029,2),ROUND(E24*1.029,2))*1.008,2)*1.105,2)*1.0018,2)*1.08,2)*1.03,2)*1.021,2)</f>
        <v>10.71</v>
      </c>
    </row>
    <row r="33" spans="1:3" ht="15" hidden="1" customHeight="1" x14ac:dyDescent="0.15"/>
    <row r="36" spans="1:3" ht="15" hidden="1" customHeight="1" x14ac:dyDescent="0.35">
      <c r="A36" s="162" t="s">
        <v>75</v>
      </c>
      <c r="B36" s="360">
        <f>ROUND(ROUND(ROUND(ROUND(ROUND(L30*1.0096,2)*1.005772,2)*'rate increase'!C2,2)*'rate increase'!C3,2)*'rate increase'!C6,2)</f>
        <v>0</v>
      </c>
      <c r="C36" s="361"/>
    </row>
  </sheetData>
  <sheetProtection algorithmName="SHA-512" hashValue="/rqUjGMkn9jBomjAKI7PcMpk/3Iq1T1MirP+tk7GYrsN3csxK1HZRI9MSzptjyvzRNXbH/4W3JRsvqaLsHJ/bg==" saltValue="0a1mtdIJck5QW/0lPHC9Rg==" spinCount="100000" sheet="1" selectLockedCells="1"/>
  <mergeCells count="5">
    <mergeCell ref="B36:C36"/>
    <mergeCell ref="K24:L24"/>
    <mergeCell ref="A7:G7"/>
    <mergeCell ref="K21:L21"/>
    <mergeCell ref="K22:L22"/>
  </mergeCells>
  <phoneticPr fontId="2" type="noConversion"/>
  <pageMargins left="0.7" right="0.7" top="0.75" bottom="0.75" header="0.3" footer="0.3"/>
  <pageSetup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37"/>
  <sheetViews>
    <sheetView showGridLines="0" zoomScaleNormal="100" workbookViewId="0">
      <selection activeCell="I6" sqref="I6"/>
    </sheetView>
  </sheetViews>
  <sheetFormatPr defaultColWidth="10" defaultRowHeight="15" customHeight="1" x14ac:dyDescent="0.35"/>
  <cols>
    <col min="1" max="1" width="19.796875" style="19" customWidth="1"/>
    <col min="2" max="2" width="35" style="19" customWidth="1"/>
    <col min="3" max="3" width="6.796875" style="19" customWidth="1"/>
    <col min="4" max="4" width="14.59765625" style="19" hidden="1" customWidth="1"/>
    <col min="5" max="5" width="28" style="19" hidden="1" customWidth="1"/>
    <col min="6" max="6" width="25" style="19" customWidth="1"/>
    <col min="7" max="7" width="17.796875" style="19" customWidth="1"/>
    <col min="8" max="9" width="20.19921875" style="19" customWidth="1"/>
    <col min="10" max="10" width="20" style="19" customWidth="1"/>
    <col min="11" max="11" width="25" style="19" customWidth="1"/>
    <col min="12" max="12" width="20.796875" style="19" customWidth="1"/>
    <col min="13" max="208" width="10" style="19"/>
    <col min="209" max="209" width="2" style="19" customWidth="1"/>
    <col min="210" max="16384" width="10" style="19"/>
  </cols>
  <sheetData>
    <row r="1" spans="1:11" ht="30.75" customHeight="1" x14ac:dyDescent="0.45">
      <c r="A1" s="332" t="s">
        <v>181</v>
      </c>
      <c r="B1" s="332"/>
      <c r="C1" s="332"/>
      <c r="D1" s="332"/>
      <c r="E1" s="332"/>
      <c r="F1" s="332"/>
      <c r="G1" s="332"/>
      <c r="H1" s="332"/>
      <c r="I1" s="332"/>
      <c r="J1" s="332"/>
      <c r="K1" s="332"/>
    </row>
    <row r="2" spans="1:11" ht="15" customHeight="1" x14ac:dyDescent="0.35">
      <c r="A2" s="342" t="s">
        <v>254</v>
      </c>
      <c r="B2" s="342"/>
      <c r="C2" s="342"/>
      <c r="D2" s="342"/>
      <c r="E2" s="342"/>
      <c r="F2" s="342"/>
      <c r="G2" s="342"/>
      <c r="H2" s="342"/>
      <c r="I2" s="342"/>
      <c r="J2" s="342"/>
      <c r="K2" s="342"/>
    </row>
    <row r="3" spans="1:11" ht="15" customHeight="1" x14ac:dyDescent="0.35">
      <c r="A3" s="13" t="s">
        <v>22</v>
      </c>
      <c r="B3" s="5"/>
      <c r="C3" s="7"/>
      <c r="F3" s="13" t="s">
        <v>18</v>
      </c>
      <c r="G3" s="40"/>
      <c r="I3" s="7" t="s">
        <v>103</v>
      </c>
      <c r="K3" s="7" t="s">
        <v>104</v>
      </c>
    </row>
    <row r="4" spans="1:11" ht="15" customHeight="1" x14ac:dyDescent="0.35">
      <c r="A4" s="14">
        <f>'Budget Plan '!A4</f>
        <v>0</v>
      </c>
      <c r="B4" s="17"/>
      <c r="C4" s="5"/>
      <c r="F4" s="16">
        <f>'Budget Plan '!C4</f>
        <v>0</v>
      </c>
      <c r="G4" s="16"/>
      <c r="I4" s="17">
        <f>'Budget Plan '!F4</f>
        <v>0</v>
      </c>
      <c r="K4" s="18">
        <f>'Budget Plan '!H4</f>
        <v>0</v>
      </c>
    </row>
    <row r="6" spans="1:11" ht="15" customHeight="1" x14ac:dyDescent="0.35">
      <c r="D6" s="7"/>
      <c r="F6" s="365" t="s">
        <v>5</v>
      </c>
      <c r="G6" s="365"/>
      <c r="H6" s="365"/>
      <c r="I6" s="186"/>
    </row>
    <row r="7" spans="1:11" ht="15" customHeight="1" x14ac:dyDescent="0.35">
      <c r="A7" s="14" t="s">
        <v>180</v>
      </c>
      <c r="B7" s="203"/>
      <c r="C7" s="43"/>
      <c r="D7" s="44"/>
      <c r="E7" s="5" t="s">
        <v>11</v>
      </c>
      <c r="F7" s="5" t="s">
        <v>9</v>
      </c>
      <c r="G7" s="5" t="s">
        <v>10</v>
      </c>
      <c r="H7" s="5" t="s">
        <v>4</v>
      </c>
      <c r="I7" s="5" t="s">
        <v>13</v>
      </c>
      <c r="J7" s="5" t="s">
        <v>14</v>
      </c>
      <c r="K7" s="5" t="s">
        <v>15</v>
      </c>
    </row>
    <row r="8" spans="1:11" ht="15" customHeight="1" x14ac:dyDescent="0.35">
      <c r="A8" s="45" t="s">
        <v>52</v>
      </c>
      <c r="B8" s="45"/>
      <c r="C8" s="45"/>
      <c r="E8" s="46">
        <v>17.52</v>
      </c>
      <c r="F8" s="187"/>
      <c r="G8" s="182"/>
      <c r="H8" s="188">
        <v>1</v>
      </c>
      <c r="I8" s="147">
        <f>ROUND(((F8*(I6/12))/(H8))+(((G8))/(H8)),1)</f>
        <v>0</v>
      </c>
      <c r="J8" s="156">
        <f>(E8*F8)/(H8)</f>
        <v>0</v>
      </c>
      <c r="K8" s="148">
        <f>ROUND((E8*G8)/(H8),2)</f>
        <v>0</v>
      </c>
    </row>
    <row r="9" spans="1:11" ht="15" customHeight="1" x14ac:dyDescent="0.35">
      <c r="A9" s="45" t="s">
        <v>52</v>
      </c>
      <c r="B9" s="45"/>
      <c r="C9" s="45"/>
      <c r="E9" s="46">
        <v>17.52</v>
      </c>
      <c r="F9" s="189"/>
      <c r="G9" s="182"/>
      <c r="H9" s="188">
        <v>2</v>
      </c>
      <c r="I9" s="147">
        <f>ROUND(((F9*(I6/12))/(H9))+(((G9))/(H9)),1)</f>
        <v>0</v>
      </c>
      <c r="J9" s="156">
        <f>(E9*F9)/(H9)</f>
        <v>0</v>
      </c>
      <c r="K9" s="148">
        <f>ROUND((E9*G9)/(H9),2)</f>
        <v>0</v>
      </c>
    </row>
    <row r="10" spans="1:11" ht="15" customHeight="1" x14ac:dyDescent="0.35">
      <c r="A10" s="45" t="s">
        <v>52</v>
      </c>
      <c r="B10" s="45"/>
      <c r="C10" s="45"/>
      <c r="E10" s="46">
        <v>17.52</v>
      </c>
      <c r="F10" s="184"/>
      <c r="G10" s="182"/>
      <c r="H10" s="188">
        <v>3</v>
      </c>
      <c r="I10" s="147">
        <f>ROUND(((F10*(I6/12))/(H10))+(((G10))/(H10)),1)</f>
        <v>0</v>
      </c>
      <c r="J10" s="156">
        <f>(E10*F10)/(H10)</f>
        <v>0</v>
      </c>
      <c r="K10" s="148">
        <f>ROUND((E10*G10)/(H10),2)</f>
        <v>0</v>
      </c>
    </row>
    <row r="11" spans="1:11" ht="15" customHeight="1" x14ac:dyDescent="0.35">
      <c r="A11" s="45" t="s">
        <v>52</v>
      </c>
      <c r="B11" s="45"/>
      <c r="C11" s="45"/>
      <c r="E11" s="48">
        <v>17.52</v>
      </c>
      <c r="F11" s="190"/>
      <c r="G11" s="182"/>
      <c r="H11" s="188">
        <v>4</v>
      </c>
      <c r="I11" s="147">
        <f>ROUND(((F11*(I6/12))/(H11))+(((G11))/(H11)),1)</f>
        <v>0</v>
      </c>
      <c r="J11" s="157">
        <f>(E11*F11)/(H11)</f>
        <v>0</v>
      </c>
      <c r="K11" s="148">
        <f>ROUND((E11*G11)/(H11),2)</f>
        <v>0</v>
      </c>
    </row>
    <row r="12" spans="1:11" ht="15" customHeight="1" x14ac:dyDescent="0.35">
      <c r="D12" s="49"/>
      <c r="E12" s="211" t="s">
        <v>100</v>
      </c>
      <c r="F12" s="212">
        <f>SUM(F8:F11)</f>
        <v>0</v>
      </c>
      <c r="G12" s="215" t="s">
        <v>101</v>
      </c>
      <c r="H12" s="216"/>
      <c r="I12" s="213">
        <f>SUM(I8:I11)</f>
        <v>0</v>
      </c>
      <c r="J12" s="160">
        <f>SUM(J8:J11)</f>
        <v>0</v>
      </c>
      <c r="K12" s="160">
        <f>SUM(K8:K11)</f>
        <v>0</v>
      </c>
    </row>
    <row r="13" spans="1:11" ht="15" customHeight="1" x14ac:dyDescent="0.35">
      <c r="G13" s="52" t="s">
        <v>93</v>
      </c>
      <c r="H13" s="158">
        <f>IFERROR(ROUND(+I12*12/I6,2),0)</f>
        <v>0</v>
      </c>
      <c r="I13" s="53"/>
      <c r="J13" s="44"/>
      <c r="K13" s="50"/>
    </row>
    <row r="14" spans="1:11" ht="15" customHeight="1" x14ac:dyDescent="0.35">
      <c r="E14" s="52"/>
      <c r="F14" s="53"/>
      <c r="G14" s="5"/>
      <c r="H14" s="5"/>
      <c r="I14" s="53"/>
      <c r="J14" s="44"/>
      <c r="K14" s="50"/>
    </row>
    <row r="15" spans="1:11" ht="15" customHeight="1" x14ac:dyDescent="0.35">
      <c r="A15" s="56"/>
      <c r="B15" s="56"/>
      <c r="C15" s="56"/>
      <c r="D15" s="54"/>
      <c r="G15" s="83"/>
      <c r="H15" s="84"/>
      <c r="I15" s="87"/>
      <c r="J15" s="85" t="s">
        <v>59</v>
      </c>
      <c r="K15" s="152">
        <f>IFERROR((($K$12*12/$I$6)+J12)*0.335+6.84,0)</f>
        <v>0</v>
      </c>
    </row>
    <row r="16" spans="1:11" ht="15" customHeight="1" x14ac:dyDescent="0.35">
      <c r="H16" s="5"/>
      <c r="I16" s="5" t="s">
        <v>168</v>
      </c>
      <c r="J16" s="51"/>
    </row>
    <row r="17" spans="1:15" ht="15" hidden="1" customHeight="1" thickBot="1" x14ac:dyDescent="0.4">
      <c r="I17" s="57"/>
      <c r="J17" s="214" t="e">
        <f>ROUND(ROUND(ROUND(ROUND(ROUND(ROUND(IF(ROUND(((K15+J12+($K$12*12/I6))*1.0288),2)&gt;151.41,151.41,ROUND(((K15+J12+($K$12*12/I6))*1.0288),2))*1.008,2)*1.105,2)*1.0018,2)*1.08,2)*1.03,2)*1.021,2)</f>
        <v>#DIV/0!</v>
      </c>
    </row>
    <row r="18" spans="1:15" ht="15" customHeight="1" x14ac:dyDescent="0.35">
      <c r="I18" s="52" t="s">
        <v>31</v>
      </c>
      <c r="J18" s="152">
        <f>IFERROR(ROUND(ROUND(ROUND(ROUND(ROUND(J17*1.0096,2)*1.005772,2)*'rate increase'!C2,2)*'rate increase'!C3,2)*'rate increase'!C6,2),0)</f>
        <v>0</v>
      </c>
    </row>
    <row r="19" spans="1:15" ht="15" customHeight="1" x14ac:dyDescent="0.35">
      <c r="D19" s="58"/>
      <c r="J19" s="52" t="s">
        <v>25</v>
      </c>
      <c r="K19" s="175">
        <f>SUM(ROUND((J18*(I6)/12),2))</f>
        <v>0</v>
      </c>
    </row>
    <row r="20" spans="1:15" ht="15" customHeight="1" x14ac:dyDescent="0.35">
      <c r="D20" s="58"/>
      <c r="J20" s="52" t="s">
        <v>24</v>
      </c>
      <c r="K20" s="175">
        <f>ROUND((J18*I6),2)</f>
        <v>0</v>
      </c>
    </row>
    <row r="21" spans="1:15" ht="15" customHeight="1" x14ac:dyDescent="0.35">
      <c r="A21" s="1" t="str">
        <f>'Budget Plan '!A24</f>
        <v>Revised 7/1/2025</v>
      </c>
      <c r="B21" s="2"/>
      <c r="C21" s="8"/>
      <c r="D21" s="22"/>
      <c r="E21" s="23"/>
      <c r="F21" s="23"/>
      <c r="G21" s="23"/>
      <c r="H21" s="23"/>
      <c r="I21" s="24"/>
      <c r="J21" s="5"/>
      <c r="K21" s="59"/>
    </row>
    <row r="22" spans="1:15" ht="15" customHeight="1" x14ac:dyDescent="0.35">
      <c r="A22" s="3" t="s">
        <v>43</v>
      </c>
      <c r="B22" s="60"/>
      <c r="C22" s="26"/>
      <c r="D22" s="22"/>
      <c r="E22" s="27"/>
      <c r="F22" s="23"/>
      <c r="G22" s="23"/>
      <c r="H22" s="23"/>
      <c r="I22" s="22"/>
    </row>
    <row r="23" spans="1:15" ht="15" customHeight="1" x14ac:dyDescent="0.35">
      <c r="A23" s="3" t="s">
        <v>6</v>
      </c>
      <c r="B23" s="8"/>
      <c r="C23" s="28"/>
      <c r="D23" s="22"/>
      <c r="E23" s="24"/>
      <c r="F23" s="22"/>
      <c r="G23" s="24"/>
      <c r="H23" s="61"/>
      <c r="I23" s="24"/>
    </row>
    <row r="25" spans="1:15" ht="15" customHeight="1" x14ac:dyDescent="0.35">
      <c r="A25" s="62"/>
      <c r="B25" s="5"/>
      <c r="C25" s="5"/>
      <c r="D25" s="5"/>
      <c r="E25" s="5"/>
      <c r="F25" s="5"/>
      <c r="G25" s="5"/>
      <c r="H25" s="5"/>
      <c r="I25" s="5"/>
      <c r="J25" s="5"/>
      <c r="K25" s="5"/>
      <c r="L25" s="7"/>
      <c r="M25" s="7"/>
      <c r="N25" s="7"/>
      <c r="O25" s="7"/>
    </row>
    <row r="26" spans="1:15" ht="15" customHeight="1" x14ac:dyDescent="0.35">
      <c r="A26" s="30"/>
      <c r="B26" s="30"/>
      <c r="C26" s="30"/>
      <c r="D26" s="31"/>
      <c r="E26" s="32"/>
      <c r="F26" s="32"/>
      <c r="G26" s="31"/>
      <c r="H26" s="31"/>
      <c r="I26" s="34"/>
      <c r="J26" s="34"/>
      <c r="K26" s="8"/>
    </row>
    <row r="27" spans="1:15" ht="15" customHeight="1" x14ac:dyDescent="0.35">
      <c r="A27" s="30"/>
      <c r="B27" s="30"/>
      <c r="C27" s="30"/>
      <c r="D27" s="31"/>
      <c r="E27" s="32"/>
      <c r="F27" s="32"/>
      <c r="G27" s="31"/>
      <c r="H27" s="31"/>
      <c r="I27" s="34"/>
      <c r="J27" s="34"/>
      <c r="K27" s="8"/>
    </row>
    <row r="28" spans="1:15" ht="15" customHeight="1" x14ac:dyDescent="0.35">
      <c r="A28" s="30"/>
      <c r="B28" s="30"/>
      <c r="C28" s="30"/>
      <c r="D28" s="31"/>
      <c r="E28" s="32"/>
      <c r="F28" s="32"/>
      <c r="G28" s="31"/>
      <c r="H28" s="31"/>
      <c r="I28" s="34"/>
      <c r="J28" s="34"/>
      <c r="K28" s="8"/>
    </row>
    <row r="29" spans="1:15" ht="15" customHeight="1" x14ac:dyDescent="0.35">
      <c r="A29" s="30"/>
      <c r="B29" s="30"/>
      <c r="C29" s="30"/>
      <c r="D29" s="31"/>
      <c r="E29" s="32"/>
      <c r="F29" s="32"/>
      <c r="G29" s="31"/>
      <c r="H29" s="31"/>
      <c r="I29" s="34"/>
      <c r="J29" s="34"/>
      <c r="K29" s="8"/>
    </row>
    <row r="30" spans="1:15" ht="15" customHeight="1" x14ac:dyDescent="0.35">
      <c r="A30" s="30"/>
      <c r="B30" s="30"/>
      <c r="C30" s="30"/>
      <c r="D30" s="31"/>
      <c r="E30" s="32"/>
      <c r="F30" s="32"/>
      <c r="G30" s="31"/>
      <c r="H30" s="31"/>
      <c r="I30" s="34"/>
      <c r="J30" s="34"/>
      <c r="K30" s="8"/>
    </row>
    <row r="33" spans="1:11" ht="15" customHeight="1" x14ac:dyDescent="0.35">
      <c r="A33" s="13"/>
      <c r="B33" s="52"/>
      <c r="C33" s="5"/>
      <c r="D33" s="7"/>
      <c r="E33" s="7"/>
      <c r="F33" s="52"/>
      <c r="G33" s="5"/>
      <c r="I33" s="7"/>
      <c r="K33" s="5"/>
    </row>
    <row r="34" spans="1:11" ht="15" customHeight="1" x14ac:dyDescent="0.35">
      <c r="B34" s="7"/>
      <c r="C34" s="7"/>
      <c r="D34" s="7"/>
      <c r="E34" s="7"/>
      <c r="F34" s="7"/>
      <c r="G34" s="7"/>
      <c r="H34" s="7"/>
      <c r="I34" s="7"/>
      <c r="J34" s="7"/>
      <c r="K34" s="7"/>
    </row>
    <row r="36" spans="1:11" ht="15" customHeight="1" x14ac:dyDescent="0.35">
      <c r="A36" s="13"/>
      <c r="B36" s="52"/>
      <c r="C36" s="5"/>
    </row>
    <row r="37" spans="1:11" ht="15" customHeight="1" x14ac:dyDescent="0.35">
      <c r="A37" s="13"/>
      <c r="B37" s="7"/>
    </row>
  </sheetData>
  <sheetProtection algorithmName="SHA-512" hashValue="+pEtpY3qgX+eSeOH0GdzXvYsn5BVlDBIg5pocChdlPTM+qFfqH0Fa7owQXkW0sjI9nxezY2/CAuVn1ceHOdPcA==" saltValue="Eha7d8CpS/vIay01HUO33Q==" spinCount="100000" sheet="1" selectLockedCells="1"/>
  <mergeCells count="3">
    <mergeCell ref="A1:K1"/>
    <mergeCell ref="A2:K2"/>
    <mergeCell ref="F6:H6"/>
  </mergeCell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O37"/>
  <sheetViews>
    <sheetView showGridLines="0" zoomScaleNormal="100" workbookViewId="0">
      <selection activeCell="I6" sqref="I6"/>
    </sheetView>
  </sheetViews>
  <sheetFormatPr defaultColWidth="10" defaultRowHeight="15" customHeight="1" x14ac:dyDescent="0.35"/>
  <cols>
    <col min="1" max="1" width="55.59765625" style="19" customWidth="1"/>
    <col min="2" max="2" width="8" style="19" customWidth="1"/>
    <col min="3" max="3" width="21.3984375" style="19" hidden="1" customWidth="1"/>
    <col min="4" max="4" width="14.59765625" style="19" hidden="1" customWidth="1"/>
    <col min="5" max="5" width="28" style="19" hidden="1" customWidth="1"/>
    <col min="6" max="6" width="23.796875" style="19" customWidth="1"/>
    <col min="7" max="7" width="21.59765625" style="19" customWidth="1"/>
    <col min="8" max="8" width="18.3984375" style="19" customWidth="1"/>
    <col min="9" max="9" width="21" style="19" customWidth="1"/>
    <col min="10" max="10" width="20" style="19" customWidth="1"/>
    <col min="11" max="11" width="25" style="19" customWidth="1"/>
    <col min="12" max="12" width="20.796875" style="19" customWidth="1"/>
    <col min="13" max="208" width="10" style="19"/>
    <col min="209" max="209" width="2" style="19" customWidth="1"/>
    <col min="210" max="16384" width="10" style="19"/>
  </cols>
  <sheetData>
    <row r="1" spans="1:11" ht="30" customHeight="1" x14ac:dyDescent="0.45">
      <c r="A1" s="332" t="s">
        <v>181</v>
      </c>
      <c r="B1" s="332"/>
      <c r="C1" s="332"/>
      <c r="D1" s="332"/>
      <c r="E1" s="332"/>
      <c r="F1" s="332"/>
      <c r="G1" s="332"/>
      <c r="H1" s="332"/>
      <c r="I1" s="332"/>
      <c r="J1" s="332"/>
      <c r="K1" s="332"/>
    </row>
    <row r="2" spans="1:11" ht="15" customHeight="1" x14ac:dyDescent="0.35">
      <c r="A2" s="342" t="s">
        <v>255</v>
      </c>
      <c r="B2" s="342"/>
      <c r="C2" s="342"/>
      <c r="D2" s="342"/>
      <c r="E2" s="342"/>
      <c r="F2" s="342"/>
      <c r="G2" s="342"/>
      <c r="H2" s="342"/>
      <c r="I2" s="342"/>
      <c r="J2" s="342"/>
      <c r="K2" s="342"/>
    </row>
    <row r="3" spans="1:11" ht="15" customHeight="1" x14ac:dyDescent="0.35">
      <c r="A3" s="13" t="s">
        <v>22</v>
      </c>
      <c r="B3" s="5"/>
      <c r="C3" s="5"/>
      <c r="F3" s="13" t="s">
        <v>18</v>
      </c>
      <c r="G3" s="40"/>
      <c r="I3" s="7" t="s">
        <v>103</v>
      </c>
      <c r="K3" s="7" t="s">
        <v>104</v>
      </c>
    </row>
    <row r="4" spans="1:11" ht="15" customHeight="1" x14ac:dyDescent="0.35">
      <c r="A4" s="14">
        <f>'Budget Plan '!A4</f>
        <v>0</v>
      </c>
      <c r="B4" s="5"/>
      <c r="C4" s="5"/>
      <c r="F4" s="16">
        <f>'Budget Plan '!C4</f>
        <v>0</v>
      </c>
      <c r="G4" s="16"/>
      <c r="I4" s="17">
        <f>'Budget Plan '!F4</f>
        <v>0</v>
      </c>
      <c r="K4" s="18">
        <f>'Budget Plan '!H4</f>
        <v>0</v>
      </c>
    </row>
    <row r="6" spans="1:11" ht="15" customHeight="1" x14ac:dyDescent="0.35">
      <c r="D6" s="7"/>
      <c r="F6" s="365" t="s">
        <v>5</v>
      </c>
      <c r="G6" s="365"/>
      <c r="H6" s="365"/>
      <c r="I6" s="186"/>
      <c r="J6" s="366"/>
      <c r="K6" s="366"/>
    </row>
    <row r="7" spans="1:11" ht="15" customHeight="1" x14ac:dyDescent="0.35">
      <c r="A7" s="14" t="s">
        <v>180</v>
      </c>
      <c r="B7" s="43"/>
      <c r="C7" s="43"/>
      <c r="D7" s="44"/>
      <c r="E7" s="5" t="s">
        <v>11</v>
      </c>
      <c r="F7" s="5" t="s">
        <v>9</v>
      </c>
      <c r="G7" s="5" t="s">
        <v>10</v>
      </c>
      <c r="H7" s="5" t="s">
        <v>4</v>
      </c>
      <c r="I7" s="5" t="s">
        <v>13</v>
      </c>
      <c r="J7" s="5" t="s">
        <v>14</v>
      </c>
      <c r="K7" s="5" t="s">
        <v>15</v>
      </c>
    </row>
    <row r="8" spans="1:11" ht="15" customHeight="1" x14ac:dyDescent="0.35">
      <c r="A8" s="45" t="s">
        <v>52</v>
      </c>
      <c r="B8" s="45"/>
      <c r="C8" s="45"/>
      <c r="E8" s="46">
        <v>17.52</v>
      </c>
      <c r="F8" s="187"/>
      <c r="G8" s="182"/>
      <c r="H8" s="188">
        <v>1</v>
      </c>
      <c r="I8" s="147">
        <f>ROUND(((F8*(I6/12))/(H8))+(((G8))/(H8)),1)</f>
        <v>0</v>
      </c>
      <c r="J8" s="156">
        <f>(E8*F8)/(H8)</f>
        <v>0</v>
      </c>
      <c r="K8" s="148">
        <f>ROUND((E8*G8)/(H8),2)</f>
        <v>0</v>
      </c>
    </row>
    <row r="9" spans="1:11" ht="15" customHeight="1" x14ac:dyDescent="0.35">
      <c r="A9" s="45" t="s">
        <v>52</v>
      </c>
      <c r="B9" s="45"/>
      <c r="C9" s="45"/>
      <c r="E9" s="46">
        <v>17.52</v>
      </c>
      <c r="F9" s="189"/>
      <c r="G9" s="182"/>
      <c r="H9" s="188">
        <v>2</v>
      </c>
      <c r="I9" s="147">
        <f>ROUND(((F9*(I6/12))/(H9))+(((G9))/(H9)),1)</f>
        <v>0</v>
      </c>
      <c r="J9" s="156">
        <f>(E9*F9)/(H9)</f>
        <v>0</v>
      </c>
      <c r="K9" s="148">
        <f>ROUND((E9*G9)/(H9),2)</f>
        <v>0</v>
      </c>
    </row>
    <row r="10" spans="1:11" ht="15" customHeight="1" x14ac:dyDescent="0.35">
      <c r="A10" s="45" t="s">
        <v>52</v>
      </c>
      <c r="B10" s="45"/>
      <c r="C10" s="45"/>
      <c r="E10" s="46">
        <v>17.52</v>
      </c>
      <c r="F10" s="184"/>
      <c r="G10" s="182"/>
      <c r="H10" s="188">
        <v>3</v>
      </c>
      <c r="I10" s="147">
        <f>ROUND(((F10*(I6/12))/(H10))+(((G10))/(H10)),1)</f>
        <v>0</v>
      </c>
      <c r="J10" s="156">
        <f>(E10*F10)/(H10)</f>
        <v>0</v>
      </c>
      <c r="K10" s="148">
        <f>ROUND((E10*G10)/(H10),2)</f>
        <v>0</v>
      </c>
    </row>
    <row r="11" spans="1:11" ht="15" customHeight="1" x14ac:dyDescent="0.35">
      <c r="A11" s="45" t="s">
        <v>52</v>
      </c>
      <c r="B11" s="45"/>
      <c r="C11" s="45"/>
      <c r="E11" s="48">
        <v>17.52</v>
      </c>
      <c r="F11" s="190"/>
      <c r="G11" s="182"/>
      <c r="H11" s="188">
        <v>4</v>
      </c>
      <c r="I11" s="147">
        <f>ROUND(((F11*(I6/12))/(H11))+(((G11))/(H11)),1)</f>
        <v>0</v>
      </c>
      <c r="J11" s="157">
        <f>(E11*F11)/(H11)</f>
        <v>0</v>
      </c>
      <c r="K11" s="148">
        <f>ROUND((E11*G11)/(H11),2)</f>
        <v>0</v>
      </c>
    </row>
    <row r="12" spans="1:11" ht="15" customHeight="1" x14ac:dyDescent="0.35">
      <c r="D12" s="49"/>
      <c r="E12" s="211" t="s">
        <v>100</v>
      </c>
      <c r="F12" s="212">
        <f>SUM(F8:F11)</f>
        <v>0</v>
      </c>
      <c r="G12" s="215" t="s">
        <v>102</v>
      </c>
      <c r="H12" s="221"/>
      <c r="I12" s="192">
        <f>SUM(I8:I11)</f>
        <v>0</v>
      </c>
      <c r="J12" s="153">
        <f>SUM(J8:J11)</f>
        <v>0</v>
      </c>
      <c r="K12" s="222">
        <f>SUM(K8:K11)</f>
        <v>0</v>
      </c>
    </row>
    <row r="13" spans="1:11" ht="15" customHeight="1" x14ac:dyDescent="0.35">
      <c r="G13" s="52" t="s">
        <v>93</v>
      </c>
      <c r="H13" s="220">
        <f>IFERROR(ROUND(+I12*12/I6,2),0)</f>
        <v>0</v>
      </c>
      <c r="I13" s="53"/>
      <c r="J13" s="44"/>
      <c r="K13" s="50"/>
    </row>
    <row r="14" spans="1:11" ht="15" customHeight="1" x14ac:dyDescent="0.35">
      <c r="E14" s="52"/>
      <c r="F14" s="53"/>
      <c r="G14" s="5"/>
      <c r="H14" s="5"/>
      <c r="I14" s="53"/>
      <c r="J14" s="44"/>
      <c r="K14" s="50"/>
    </row>
    <row r="15" spans="1:11" ht="15" customHeight="1" x14ac:dyDescent="0.35">
      <c r="A15" s="56"/>
      <c r="B15" s="56"/>
      <c r="C15" s="56"/>
      <c r="D15" s="54"/>
      <c r="G15" s="83"/>
      <c r="H15" s="84"/>
      <c r="I15" s="87"/>
      <c r="J15" s="85" t="s">
        <v>59</v>
      </c>
      <c r="K15" s="152">
        <f>IFERROR((($K$12*12/$I$6)+J12)*0.335+6.84,0)</f>
        <v>0</v>
      </c>
    </row>
    <row r="16" spans="1:11" ht="15" customHeight="1" x14ac:dyDescent="0.35">
      <c r="H16" s="5"/>
      <c r="I16" s="5" t="s">
        <v>168</v>
      </c>
      <c r="J16" s="51"/>
    </row>
    <row r="17" spans="1:15" ht="15" hidden="1" customHeight="1" thickBot="1" x14ac:dyDescent="0.4">
      <c r="I17" s="57"/>
      <c r="J17" s="223" t="e">
        <f>ROUND(ROUND(ROUND(ROUND(ROUND(ROUND(IF(ROUND(((K15+J12+($K$12*12/I6))*1.0288),2)=6.8,0,ROUND(((K15+J12+($K$12*12/I6))*1.0288),2))*1.008,2)*1.105,2)*1.0018,2)*1.08,2)*1.03,2)*1.021,2)</f>
        <v>#DIV/0!</v>
      </c>
    </row>
    <row r="18" spans="1:15" ht="15" customHeight="1" x14ac:dyDescent="0.35">
      <c r="I18" s="52" t="s">
        <v>31</v>
      </c>
      <c r="J18" s="152">
        <f>IFERROR(ROUND(ROUND(ROUND(ROUND(ROUND(J17*1.0096,2)*1.005772,2)*'rate increase'!C2,2)*'rate increase'!C3,2)*'rate increase'!C6,2),0)</f>
        <v>0</v>
      </c>
    </row>
    <row r="19" spans="1:15" ht="15" customHeight="1" x14ac:dyDescent="0.35">
      <c r="D19" s="58"/>
      <c r="J19" s="52" t="s">
        <v>25</v>
      </c>
      <c r="K19" s="175">
        <f>SUM(ROUND((J18*(I6)/12),2))</f>
        <v>0</v>
      </c>
    </row>
    <row r="20" spans="1:15" ht="15" customHeight="1" x14ac:dyDescent="0.35">
      <c r="D20" s="58"/>
      <c r="J20" s="52" t="s">
        <v>24</v>
      </c>
      <c r="K20" s="175">
        <f>ROUND((J18*I6),2)</f>
        <v>0</v>
      </c>
    </row>
    <row r="21" spans="1:15" ht="15" customHeight="1" x14ac:dyDescent="0.35">
      <c r="A21" s="22"/>
      <c r="B21" s="2"/>
      <c r="C21" s="8"/>
      <c r="D21" s="22"/>
      <c r="E21" s="23"/>
      <c r="F21" s="23"/>
      <c r="G21" s="23"/>
      <c r="H21" s="23"/>
      <c r="I21" s="24"/>
      <c r="J21" s="5"/>
      <c r="K21" s="59"/>
    </row>
    <row r="22" spans="1:15" ht="15" customHeight="1" x14ac:dyDescent="0.35">
      <c r="A22" s="1" t="str">
        <f>'Budget Plan '!A24</f>
        <v>Revised 7/1/2025</v>
      </c>
      <c r="B22" s="60"/>
      <c r="C22" s="26"/>
      <c r="D22" s="22"/>
      <c r="E22" s="27"/>
      <c r="F22" s="23"/>
      <c r="G22" s="23"/>
      <c r="H22" s="23"/>
      <c r="I22" s="22"/>
    </row>
    <row r="23" spans="1:15" ht="15" customHeight="1" x14ac:dyDescent="0.35">
      <c r="A23" s="3" t="s">
        <v>43</v>
      </c>
      <c r="B23" s="8"/>
      <c r="C23" s="28"/>
      <c r="D23" s="22"/>
      <c r="E23" s="24"/>
      <c r="F23" s="22"/>
      <c r="G23" s="24"/>
      <c r="H23" s="61"/>
      <c r="I23" s="24"/>
    </row>
    <row r="24" spans="1:15" ht="15" customHeight="1" x14ac:dyDescent="0.35">
      <c r="A24" s="3" t="s">
        <v>6</v>
      </c>
    </row>
    <row r="25" spans="1:15" ht="15" customHeight="1" x14ac:dyDescent="0.35">
      <c r="A25" s="5"/>
      <c r="B25" s="5"/>
      <c r="C25" s="5"/>
      <c r="D25" s="5"/>
      <c r="E25" s="5"/>
      <c r="F25" s="5"/>
      <c r="G25" s="5"/>
      <c r="H25" s="5"/>
      <c r="I25" s="5"/>
      <c r="J25" s="5"/>
      <c r="K25" s="5"/>
      <c r="L25" s="7"/>
      <c r="M25" s="7"/>
      <c r="N25" s="7"/>
      <c r="O25" s="7"/>
    </row>
    <row r="26" spans="1:15" ht="15" customHeight="1" x14ac:dyDescent="0.35">
      <c r="A26" s="62"/>
      <c r="B26" s="30"/>
      <c r="C26" s="30"/>
      <c r="D26" s="31"/>
      <c r="E26" s="32"/>
      <c r="F26" s="32"/>
      <c r="G26" s="31"/>
      <c r="H26" s="31"/>
      <c r="I26" s="34"/>
      <c r="J26" s="34"/>
      <c r="K26" s="8"/>
    </row>
    <row r="27" spans="1:15" ht="15" customHeight="1" x14ac:dyDescent="0.35">
      <c r="A27" s="30"/>
      <c r="B27" s="30"/>
      <c r="C27" s="30"/>
      <c r="D27" s="31"/>
      <c r="E27" s="32"/>
      <c r="F27" s="32"/>
      <c r="G27" s="31"/>
      <c r="H27" s="31"/>
      <c r="I27" s="34"/>
      <c r="J27" s="34"/>
      <c r="K27" s="8"/>
    </row>
    <row r="28" spans="1:15" ht="15" customHeight="1" x14ac:dyDescent="0.35">
      <c r="A28" s="30"/>
      <c r="B28" s="30"/>
      <c r="C28" s="30"/>
      <c r="D28" s="31"/>
      <c r="E28" s="32"/>
      <c r="F28" s="32"/>
      <c r="G28" s="31"/>
      <c r="H28" s="31"/>
      <c r="I28" s="34"/>
      <c r="J28" s="34"/>
      <c r="K28" s="8"/>
    </row>
    <row r="29" spans="1:15" ht="15" customHeight="1" x14ac:dyDescent="0.35">
      <c r="A29" s="30"/>
      <c r="B29" s="30"/>
      <c r="C29" s="30"/>
      <c r="D29" s="31"/>
      <c r="E29" s="32"/>
      <c r="F29" s="32"/>
      <c r="G29" s="31"/>
      <c r="H29" s="31"/>
      <c r="I29" s="34"/>
      <c r="J29" s="34"/>
      <c r="K29" s="8"/>
    </row>
    <row r="30" spans="1:15" ht="15" customHeight="1" x14ac:dyDescent="0.35">
      <c r="A30" s="30"/>
      <c r="B30" s="30"/>
      <c r="C30" s="30"/>
      <c r="D30" s="31"/>
      <c r="E30" s="32"/>
      <c r="F30" s="32"/>
      <c r="G30" s="31"/>
      <c r="H30" s="31"/>
      <c r="I30" s="34"/>
      <c r="J30" s="34"/>
      <c r="K30" s="8"/>
    </row>
    <row r="33" spans="1:11" ht="15" customHeight="1" x14ac:dyDescent="0.35">
      <c r="A33" s="13"/>
      <c r="B33" s="52"/>
      <c r="C33" s="5"/>
      <c r="D33" s="7"/>
      <c r="E33" s="7"/>
      <c r="F33" s="52"/>
      <c r="G33" s="5"/>
      <c r="I33" s="7"/>
      <c r="K33" s="5"/>
    </row>
    <row r="34" spans="1:11" ht="15" customHeight="1" x14ac:dyDescent="0.35">
      <c r="B34" s="7"/>
      <c r="C34" s="7"/>
      <c r="D34" s="7"/>
      <c r="E34" s="7"/>
      <c r="F34" s="7"/>
      <c r="G34" s="7"/>
      <c r="H34" s="7"/>
      <c r="I34" s="7"/>
      <c r="J34" s="7"/>
      <c r="K34" s="7"/>
    </row>
    <row r="36" spans="1:11" ht="15" customHeight="1" x14ac:dyDescent="0.35">
      <c r="A36" s="13"/>
      <c r="B36" s="52"/>
      <c r="C36" s="5"/>
    </row>
    <row r="37" spans="1:11" ht="15" customHeight="1" x14ac:dyDescent="0.35">
      <c r="A37" s="13"/>
      <c r="B37" s="7"/>
    </row>
  </sheetData>
  <sheetProtection algorithmName="SHA-512" hashValue="iPvov4mxVMv8jdxULGWksB4AzZ2Ul05GIExN5WQXElk+NZfD3Ne6qQxtMo9dq8M4nicmgm/fHV4TYp4SvcGFxQ==" saltValue="p7H6k6cXPowYvPaip3YFAw==" spinCount="100000" sheet="1" selectLockedCells="1"/>
  <mergeCells count="4">
    <mergeCell ref="A1:K1"/>
    <mergeCell ref="A2:K2"/>
    <mergeCell ref="F6:H6"/>
    <mergeCell ref="J6:K6"/>
  </mergeCells>
  <pageMargins left="0.7" right="0.7" top="0.75" bottom="0.75" header="0.3" footer="0.3"/>
  <pageSetup orientation="landscape" r:id="rId1"/>
  <rowBreaks count="1" manualBreakCount="1">
    <brk id="26"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N39"/>
  <sheetViews>
    <sheetView showGridLines="0" topLeftCell="A2" zoomScaleNormal="100" workbookViewId="0">
      <selection activeCell="I8" sqref="I8"/>
    </sheetView>
  </sheetViews>
  <sheetFormatPr defaultColWidth="10" defaultRowHeight="15" customHeight="1" x14ac:dyDescent="0.35"/>
  <cols>
    <col min="1" max="1" width="24.796875" style="19" customWidth="1"/>
    <col min="2" max="2" width="38.3984375" style="19" customWidth="1"/>
    <col min="3" max="3" width="17.3984375" style="19" customWidth="1"/>
    <col min="4" max="4" width="14.59765625" style="19" hidden="1" customWidth="1"/>
    <col min="5" max="5" width="28" style="19" hidden="1" customWidth="1"/>
    <col min="6" max="6" width="46.3984375" style="19" customWidth="1"/>
    <col min="7" max="7" width="21.59765625" style="19" customWidth="1"/>
    <col min="8" max="8" width="18.3984375" style="19" customWidth="1"/>
    <col min="9" max="9" width="20.3984375" style="19" customWidth="1"/>
    <col min="10" max="10" width="18.19921875" style="19" customWidth="1"/>
    <col min="11" max="11" width="29.3984375" style="19" customWidth="1"/>
    <col min="12" max="207" width="10" style="19"/>
    <col min="208" max="208" width="2" style="19" customWidth="1"/>
    <col min="209" max="16384" width="10" style="19"/>
  </cols>
  <sheetData>
    <row r="1" spans="1:11" ht="15" hidden="1" customHeight="1" x14ac:dyDescent="0.35">
      <c r="A1" s="3" t="str">
        <f>'Budget Plan '!A24</f>
        <v>Revised 7/1/2025</v>
      </c>
      <c r="B1" s="224" t="s">
        <v>164</v>
      </c>
      <c r="C1" s="225">
        <v>10.09</v>
      </c>
      <c r="D1" s="226"/>
      <c r="I1" s="19" t="str">
        <f>'Budget Plan '!A25</f>
        <v>Individualized Budget Plan Software 04-19-02.xls</v>
      </c>
    </row>
    <row r="2" spans="1:11" ht="30.75" customHeight="1" x14ac:dyDescent="0.45">
      <c r="A2" s="310"/>
      <c r="B2" s="310"/>
      <c r="C2" s="310"/>
      <c r="D2" s="310"/>
      <c r="E2" s="310"/>
      <c r="F2" s="310" t="s">
        <v>182</v>
      </c>
      <c r="G2" s="310"/>
      <c r="H2" s="310"/>
      <c r="I2" s="310"/>
      <c r="J2" s="310"/>
      <c r="K2" s="310"/>
    </row>
    <row r="3" spans="1:11" ht="15" customHeight="1" x14ac:dyDescent="0.35">
      <c r="A3" s="146"/>
      <c r="B3" s="146"/>
      <c r="C3" s="146"/>
      <c r="D3" s="146"/>
      <c r="E3" s="146"/>
      <c r="F3" s="146" t="s">
        <v>183</v>
      </c>
      <c r="G3" s="146"/>
      <c r="H3" s="146"/>
      <c r="I3" s="146"/>
      <c r="J3" s="146"/>
      <c r="K3" s="146"/>
    </row>
    <row r="4" spans="1:11" ht="15" customHeight="1" x14ac:dyDescent="0.35">
      <c r="A4" s="13" t="s">
        <v>85</v>
      </c>
      <c r="B4" s="5"/>
      <c r="C4" s="5"/>
      <c r="F4" s="13" t="s">
        <v>18</v>
      </c>
      <c r="G4" s="40"/>
      <c r="H4" s="7" t="s">
        <v>103</v>
      </c>
      <c r="J4" s="7" t="s">
        <v>104</v>
      </c>
    </row>
    <row r="5" spans="1:11" ht="15" customHeight="1" x14ac:dyDescent="0.35">
      <c r="A5" s="17">
        <f>'Budget Plan '!A4</f>
        <v>0</v>
      </c>
      <c r="B5" s="312"/>
      <c r="C5" s="5"/>
      <c r="F5" s="16">
        <f>'Budget Plan '!C4</f>
        <v>0</v>
      </c>
      <c r="H5" s="17">
        <f>'Budget Plan '!F4</f>
        <v>0</v>
      </c>
      <c r="J5" s="18">
        <f>'Budget Plan '!H4</f>
        <v>0</v>
      </c>
    </row>
    <row r="6" spans="1:11" ht="15" customHeight="1" x14ac:dyDescent="0.35">
      <c r="A6" s="13"/>
      <c r="B6" s="13"/>
      <c r="C6" s="13"/>
      <c r="F6" s="56"/>
    </row>
    <row r="7" spans="1:11" ht="22.5" customHeight="1" x14ac:dyDescent="0.45">
      <c r="A7" s="332" t="s">
        <v>99</v>
      </c>
      <c r="B7" s="332"/>
      <c r="C7" s="332"/>
      <c r="D7" s="332"/>
      <c r="E7" s="332"/>
      <c r="F7" s="332"/>
      <c r="G7" s="332"/>
      <c r="H7" s="332"/>
      <c r="I7" s="332"/>
      <c r="J7" s="332"/>
      <c r="K7" s="332"/>
    </row>
    <row r="8" spans="1:11" ht="15" customHeight="1" x14ac:dyDescent="0.35">
      <c r="D8" s="7"/>
      <c r="F8" s="333" t="s">
        <v>5</v>
      </c>
      <c r="G8" s="333"/>
      <c r="H8" s="333"/>
      <c r="I8" s="186"/>
    </row>
    <row r="9" spans="1:11" ht="15" customHeight="1" x14ac:dyDescent="0.35">
      <c r="A9" s="14" t="s">
        <v>180</v>
      </c>
      <c r="B9" s="14"/>
      <c r="C9" s="43"/>
      <c r="D9" s="44"/>
      <c r="E9" s="5" t="s">
        <v>11</v>
      </c>
      <c r="F9" s="5" t="s">
        <v>9</v>
      </c>
      <c r="G9" s="5" t="s">
        <v>10</v>
      </c>
      <c r="H9" s="5" t="s">
        <v>4</v>
      </c>
      <c r="I9" s="5" t="s">
        <v>13</v>
      </c>
      <c r="J9" s="5" t="s">
        <v>14</v>
      </c>
      <c r="K9" s="5" t="s">
        <v>15</v>
      </c>
    </row>
    <row r="10" spans="1:11" ht="15" customHeight="1" x14ac:dyDescent="0.35">
      <c r="A10" s="45" t="s">
        <v>86</v>
      </c>
      <c r="B10" s="45"/>
      <c r="C10" s="45"/>
      <c r="E10" s="46">
        <v>25.2</v>
      </c>
      <c r="F10" s="187"/>
      <c r="G10" s="187"/>
      <c r="H10" s="188">
        <v>1</v>
      </c>
      <c r="I10" s="147">
        <f>ROUND(((F10*(I8/12))/(H10))+(((G10))/(H10)),1)</f>
        <v>0</v>
      </c>
      <c r="J10" s="156">
        <f>(E10*F10)/(H10)</f>
        <v>0</v>
      </c>
      <c r="K10" s="148">
        <f>ROUND((E10*G10)/(H10),2)</f>
        <v>0</v>
      </c>
    </row>
    <row r="11" spans="1:11" ht="15" customHeight="1" x14ac:dyDescent="0.35">
      <c r="A11" s="45" t="s">
        <v>86</v>
      </c>
      <c r="B11" s="45"/>
      <c r="C11" s="45"/>
      <c r="E11" s="46">
        <v>25.2</v>
      </c>
      <c r="F11" s="189"/>
      <c r="G11" s="189"/>
      <c r="H11" s="188">
        <v>2</v>
      </c>
      <c r="I11" s="147">
        <f>ROUND(((F11*(I8/12))/(H11))+(((G11))/(H11)),1)</f>
        <v>0</v>
      </c>
      <c r="J11" s="156">
        <f>(E11*F11)/(H11)</f>
        <v>0</v>
      </c>
      <c r="K11" s="148">
        <f>ROUND((E11*G11)/(H11),2)</f>
        <v>0</v>
      </c>
    </row>
    <row r="12" spans="1:11" ht="15" customHeight="1" x14ac:dyDescent="0.35">
      <c r="A12" s="45" t="s">
        <v>86</v>
      </c>
      <c r="B12" s="45"/>
      <c r="C12" s="45"/>
      <c r="E12" s="46">
        <v>25.2</v>
      </c>
      <c r="F12" s="184"/>
      <c r="G12" s="184"/>
      <c r="H12" s="188">
        <v>3</v>
      </c>
      <c r="I12" s="147">
        <f>ROUND(((F12*(I8/12))/(H12))+(((G12))/(H12)),1)</f>
        <v>0</v>
      </c>
      <c r="J12" s="156">
        <f>(E12*F12)/(H12)</f>
        <v>0</v>
      </c>
      <c r="K12" s="148">
        <f>ROUND((E12*G12)/(H12),2)</f>
        <v>0</v>
      </c>
    </row>
    <row r="13" spans="1:11" ht="15" customHeight="1" x14ac:dyDescent="0.35">
      <c r="A13" s="45" t="s">
        <v>86</v>
      </c>
      <c r="B13" s="45"/>
      <c r="C13" s="45"/>
      <c r="E13" s="48">
        <v>25.2</v>
      </c>
      <c r="F13" s="190"/>
      <c r="G13" s="190"/>
      <c r="H13" s="188">
        <v>4</v>
      </c>
      <c r="I13" s="228">
        <f>ROUND(((F13*(I8/12))/(H13))+(((G13))/(H13)),1)</f>
        <v>0</v>
      </c>
      <c r="J13" s="157">
        <f>(E13*F13)/(H13)</f>
        <v>0</v>
      </c>
      <c r="K13" s="229">
        <f>ROUND((E13*G13)/(H13),2)</f>
        <v>0</v>
      </c>
    </row>
    <row r="14" spans="1:11" ht="15" customHeight="1" x14ac:dyDescent="0.35">
      <c r="D14" s="49"/>
      <c r="E14" s="211" t="s">
        <v>100</v>
      </c>
      <c r="F14" s="232">
        <f>SUM(F10:F13)</f>
        <v>0</v>
      </c>
      <c r="G14" s="215" t="s">
        <v>101</v>
      </c>
      <c r="H14" s="221"/>
      <c r="I14" s="213">
        <f>SUM(I10:I13)</f>
        <v>0</v>
      </c>
      <c r="J14" s="160">
        <f>SUM(J10:J13)</f>
        <v>0</v>
      </c>
      <c r="K14" s="160">
        <f>SUM(K10:K13)</f>
        <v>0</v>
      </c>
    </row>
    <row r="15" spans="1:11" ht="15" customHeight="1" x14ac:dyDescent="0.35">
      <c r="D15" s="49"/>
      <c r="E15" s="50"/>
      <c r="F15" s="119"/>
      <c r="G15" s="5"/>
      <c r="H15" s="6" t="s">
        <v>169</v>
      </c>
      <c r="I15" s="286"/>
      <c r="J15" s="287"/>
      <c r="K15" s="287"/>
    </row>
    <row r="16" spans="1:11" ht="15" customHeight="1" x14ac:dyDescent="0.35">
      <c r="H16" s="5"/>
      <c r="I16" s="52" t="s">
        <v>87</v>
      </c>
      <c r="J16" s="152">
        <f>IF(ROUND(ROUND(ROUND(ROUND(ROUND((J17/G17)*1.096,2)*1.005772,2)*'rate increase'!C2,2)*'rate increase'!C3,2)*'rate increase'!C6,2)&gt;C1,C1,(ROUND(ROUND(ROUND(ROUND(ROUND((J17/G17)*1.096,2)*1.005772,2)*'rate increase'!C2,2)*'rate increase'!C3,2)*'rate increase'!C6,2)))</f>
        <v>0</v>
      </c>
    </row>
    <row r="17" spans="1:14" ht="15" customHeight="1" x14ac:dyDescent="0.35">
      <c r="F17" s="13" t="s">
        <v>88</v>
      </c>
      <c r="G17" s="230">
        <f>IF(F10+F11+F12+F13&lt;1,1,(F10+F11+F12+F13)*4)</f>
        <v>1</v>
      </c>
      <c r="H17" s="227"/>
      <c r="I17" s="315" t="s">
        <v>89</v>
      </c>
      <c r="J17" s="316">
        <f>ROUND(ROUND(ROUND(ROUND(ROUND(ROUND(IF(J14&gt;151.41,151.41,J14)*1.008,2)*1.105,2)*1.0018,2)*1.08,2)*1.03,3)*1.021,2)</f>
        <v>0</v>
      </c>
    </row>
    <row r="18" spans="1:14" ht="15" customHeight="1" x14ac:dyDescent="0.35">
      <c r="D18" s="58"/>
      <c r="F18" s="13" t="s">
        <v>90</v>
      </c>
      <c r="G18" s="231">
        <f>ROUND(I8*G17/12,0)</f>
        <v>0</v>
      </c>
      <c r="J18" s="52" t="s">
        <v>91</v>
      </c>
      <c r="K18" s="175">
        <f>ROUND(G18*J16,2)</f>
        <v>0</v>
      </c>
    </row>
    <row r="19" spans="1:14" ht="15" customHeight="1" x14ac:dyDescent="0.35">
      <c r="D19" s="58"/>
      <c r="F19" s="13" t="s">
        <v>92</v>
      </c>
      <c r="G19" s="231">
        <f>ROUND(G17*I8,0)</f>
        <v>0</v>
      </c>
      <c r="J19" s="52" t="s">
        <v>24</v>
      </c>
      <c r="K19" s="175">
        <f>ROUND((J16*G19),2)</f>
        <v>0</v>
      </c>
    </row>
    <row r="20" spans="1:14" ht="27" customHeight="1" thickBot="1" x14ac:dyDescent="0.5">
      <c r="A20" s="310"/>
      <c r="B20" s="310"/>
      <c r="C20" s="310"/>
      <c r="D20" s="310"/>
      <c r="E20" s="310"/>
      <c r="F20" s="310"/>
      <c r="G20" s="310" t="s">
        <v>295</v>
      </c>
      <c r="H20" s="310"/>
      <c r="I20" s="310"/>
      <c r="J20" s="310"/>
      <c r="K20" s="310"/>
      <c r="L20" s="7"/>
      <c r="M20" s="7"/>
      <c r="N20" s="7"/>
    </row>
    <row r="21" spans="1:14" ht="15" customHeight="1" thickTop="1" x14ac:dyDescent="0.35">
      <c r="A21" s="41"/>
      <c r="B21" s="41"/>
      <c r="C21" s="41"/>
      <c r="D21" s="42"/>
      <c r="E21" s="41"/>
      <c r="F21" s="42"/>
      <c r="G21" s="41"/>
      <c r="H21" s="41"/>
      <c r="I21" s="41"/>
      <c r="J21" s="41"/>
      <c r="K21" s="63"/>
    </row>
    <row r="22" spans="1:14" ht="15" customHeight="1" x14ac:dyDescent="0.35">
      <c r="D22" s="7"/>
      <c r="F22" s="333" t="s">
        <v>5</v>
      </c>
      <c r="G22" s="333"/>
      <c r="H22" s="333"/>
      <c r="I22" s="186"/>
      <c r="J22" s="330"/>
      <c r="K22" s="331"/>
    </row>
    <row r="23" spans="1:14" ht="15" customHeight="1" x14ac:dyDescent="0.35">
      <c r="A23" s="14" t="s">
        <v>180</v>
      </c>
      <c r="B23" s="203"/>
      <c r="C23" s="43"/>
      <c r="D23" s="44"/>
      <c r="E23" s="5" t="s">
        <v>11</v>
      </c>
      <c r="F23" s="5" t="s">
        <v>9</v>
      </c>
      <c r="G23" s="5" t="s">
        <v>10</v>
      </c>
      <c r="H23" s="5" t="s">
        <v>4</v>
      </c>
      <c r="I23" s="5" t="s">
        <v>13</v>
      </c>
      <c r="J23" s="5" t="s">
        <v>14</v>
      </c>
      <c r="K23" s="5" t="s">
        <v>15</v>
      </c>
    </row>
    <row r="24" spans="1:14" ht="15" customHeight="1" x14ac:dyDescent="0.35">
      <c r="A24" s="45" t="s">
        <v>86</v>
      </c>
      <c r="B24" s="45"/>
      <c r="C24" s="45"/>
      <c r="E24" s="46">
        <v>25.2</v>
      </c>
      <c r="F24" s="187"/>
      <c r="G24" s="187"/>
      <c r="H24" s="188">
        <v>1</v>
      </c>
      <c r="I24" s="147">
        <f>ROUND(((F24*(I22/12))/(H24))+(((G24))/(H24)),1)</f>
        <v>0</v>
      </c>
      <c r="J24" s="156">
        <f>(E24*F24)/(H24)</f>
        <v>0</v>
      </c>
      <c r="K24" s="148">
        <f>ROUND((E24*G24)/(H24),2)</f>
        <v>0</v>
      </c>
    </row>
    <row r="25" spans="1:14" ht="15" customHeight="1" x14ac:dyDescent="0.35">
      <c r="A25" s="45" t="s">
        <v>86</v>
      </c>
      <c r="B25" s="45"/>
      <c r="C25" s="45"/>
      <c r="E25" s="46">
        <v>25.2</v>
      </c>
      <c r="F25" s="189"/>
      <c r="G25" s="189"/>
      <c r="H25" s="188">
        <v>2</v>
      </c>
      <c r="I25" s="147">
        <f>ROUND(((F25*(I22/12))/(H25))+(((G25))/(H25)),1)</f>
        <v>0</v>
      </c>
      <c r="J25" s="156">
        <f>(E25*F25)/(H25)</f>
        <v>0</v>
      </c>
      <c r="K25" s="148">
        <f>ROUND((E25*G25)/(H25),2)</f>
        <v>0</v>
      </c>
    </row>
    <row r="26" spans="1:14" ht="15" customHeight="1" x14ac:dyDescent="0.35">
      <c r="A26" s="45" t="s">
        <v>86</v>
      </c>
      <c r="B26" s="45"/>
      <c r="C26" s="45"/>
      <c r="E26" s="46">
        <v>25.2</v>
      </c>
      <c r="F26" s="184"/>
      <c r="G26" s="184"/>
      <c r="H26" s="188">
        <v>3</v>
      </c>
      <c r="I26" s="147">
        <f>ROUND(((F26*(I22/12))/(H26))+(((G26))/(H26)),1)</f>
        <v>0</v>
      </c>
      <c r="J26" s="156">
        <f>(E26*F26)/(H26)</f>
        <v>0</v>
      </c>
      <c r="K26" s="148">
        <f>ROUND((E26*G26)/(H26),2)</f>
        <v>0</v>
      </c>
    </row>
    <row r="27" spans="1:14" ht="15" customHeight="1" x14ac:dyDescent="0.35">
      <c r="A27" s="45" t="s">
        <v>86</v>
      </c>
      <c r="B27" s="45"/>
      <c r="C27" s="45"/>
      <c r="E27" s="48">
        <v>25.2</v>
      </c>
      <c r="F27" s="190"/>
      <c r="G27" s="190"/>
      <c r="H27" s="188">
        <v>4</v>
      </c>
      <c r="I27" s="228">
        <f>ROUND(((F27*(I22/12))/(H27))+(((G27))/(H27)),1)</f>
        <v>0</v>
      </c>
      <c r="J27" s="157">
        <f>(E27*F27)/(H27)</f>
        <v>0</v>
      </c>
      <c r="K27" s="229">
        <f>ROUND((E27*G27)/(H27),2)</f>
        <v>0</v>
      </c>
    </row>
    <row r="28" spans="1:14" ht="15" customHeight="1" x14ac:dyDescent="0.35">
      <c r="D28" s="49"/>
      <c r="E28" s="211" t="s">
        <v>100</v>
      </c>
      <c r="F28" s="232">
        <f>SUM(F24:F27)</f>
        <v>0</v>
      </c>
      <c r="G28" s="215" t="s">
        <v>102</v>
      </c>
      <c r="H28" s="221"/>
      <c r="I28" s="213">
        <f>SUM(I24:I27)</f>
        <v>0</v>
      </c>
      <c r="J28" s="160">
        <f>SUM(J24:J27)</f>
        <v>0</v>
      </c>
      <c r="K28" s="160">
        <f>SUM(K24:K27)</f>
        <v>0</v>
      </c>
    </row>
    <row r="29" spans="1:14" ht="15" customHeight="1" x14ac:dyDescent="0.35">
      <c r="D29" s="49"/>
      <c r="E29" s="50"/>
      <c r="F29" s="50"/>
      <c r="G29" s="5"/>
      <c r="H29" s="6" t="s">
        <v>169</v>
      </c>
      <c r="I29" s="286"/>
      <c r="J29" s="4"/>
      <c r="K29" s="287"/>
    </row>
    <row r="30" spans="1:14" ht="15" customHeight="1" x14ac:dyDescent="0.35">
      <c r="H30" s="5"/>
      <c r="I30" s="52" t="s">
        <v>87</v>
      </c>
      <c r="J30" s="152">
        <f>IF(ROUND(ROUND(ROUND(ROUND(ROUND((J31/G31)*1.096,2)*1.005772,2)*'rate increase'!C2,2)*'rate increase'!C3,2)*'rate increase'!C6,2)&gt;C1,C1,(ROUND(ROUND(ROUND(ROUND(ROUND((J31/G31)*1.096,2)*1.005772,2)*'rate increase'!C2,2)*'rate increase'!C3,2)*'rate increase'!C6,2)))</f>
        <v>0</v>
      </c>
    </row>
    <row r="31" spans="1:14" ht="15" customHeight="1" x14ac:dyDescent="0.35">
      <c r="A31" s="1" t="str">
        <f>'Budget Plan '!A24</f>
        <v>Revised 7/1/2025</v>
      </c>
      <c r="F31" s="13" t="s">
        <v>88</v>
      </c>
      <c r="G31" s="230">
        <f>IF(F24+F25+F26+F27&lt;1,1,(F24+F25+F26+F27)*4)</f>
        <v>1</v>
      </c>
      <c r="H31" s="227"/>
      <c r="I31" s="315" t="s">
        <v>294</v>
      </c>
      <c r="J31" s="317">
        <f>ROUND(ROUND(ROUND(ROUND(ROUND(ROUND(IF(J28&gt;151.41,151.41,J28)*1.008,2)*1.105,2)*1.0018,2)*1.08,2)*1.03,2)*1.021,2)</f>
        <v>0</v>
      </c>
    </row>
    <row r="32" spans="1:14" ht="15" customHeight="1" x14ac:dyDescent="0.35">
      <c r="A32" s="3" t="s">
        <v>43</v>
      </c>
      <c r="D32" s="58"/>
      <c r="F32" s="13" t="s">
        <v>90</v>
      </c>
      <c r="G32" s="231">
        <f>ROUND(I22*G31/12,0)</f>
        <v>0</v>
      </c>
      <c r="J32" s="52" t="s">
        <v>91</v>
      </c>
      <c r="K32" s="175">
        <f>ROUND(G32*J30,2)</f>
        <v>0</v>
      </c>
    </row>
    <row r="33" spans="1:11" ht="15" customHeight="1" x14ac:dyDescent="0.35">
      <c r="A33" s="3" t="s">
        <v>6</v>
      </c>
      <c r="D33" s="58"/>
      <c r="F33" s="13" t="s">
        <v>92</v>
      </c>
      <c r="G33" s="231">
        <f>ROUND(G31*I22,0)</f>
        <v>0</v>
      </c>
      <c r="J33" s="52" t="s">
        <v>24</v>
      </c>
      <c r="K33" s="175">
        <f>ROUND((J30*G33),2)</f>
        <v>0</v>
      </c>
    </row>
    <row r="39" spans="1:11" ht="15" customHeight="1" x14ac:dyDescent="0.35">
      <c r="A39" s="62"/>
    </row>
  </sheetData>
  <sheetProtection algorithmName="SHA-512" hashValue="0xPVfTjSlqd8u0GcyHkzAyJdXD3wmRyDVFoKLt/0KOALtaRKES9wO3zlfZ2VPvwh+dWGp4kYas8hM6WivGM6fQ==" saltValue="/UEBRi9tpjmb/pELSCcQ3A==" spinCount="100000" sheet="1" selectLockedCells="1"/>
  <mergeCells count="4">
    <mergeCell ref="F22:H22"/>
    <mergeCell ref="F8:H8"/>
    <mergeCell ref="J22:K22"/>
    <mergeCell ref="A7:K7"/>
  </mergeCells>
  <phoneticPr fontId="2" type="noConversion"/>
  <pageMargins left="0.25" right="0.25" top="0.75" bottom="0.75" header="0.3" footer="0.3"/>
  <pageSetup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Budget Plan </vt:lpstr>
      <vt:lpstr>RHS</vt:lpstr>
      <vt:lpstr>PPS HHS</vt:lpstr>
      <vt:lpstr>DSG</vt:lpstr>
      <vt:lpstr>SEE SEI DSI</vt:lpstr>
      <vt:lpstr>DSP 6 hr Daily</vt:lpstr>
      <vt:lpstr>DSP 10 hr Daily</vt:lpstr>
      <vt:lpstr>DSP Qtr Hr  </vt:lpstr>
      <vt:lpstr>EPR 6 hr Daily</vt:lpstr>
      <vt:lpstr>EPR 10 hr Daily</vt:lpstr>
      <vt:lpstr>EPR Qtr Hr</vt:lpstr>
      <vt:lpstr>Instructions</vt:lpstr>
      <vt:lpstr>rate increase</vt:lpstr>
      <vt:lpstr>'Budget Plan '!Print_Area</vt:lpstr>
      <vt:lpstr>'DSP 10 hr Daily'!Print_Area</vt:lpstr>
      <vt:lpstr>'DSP 6 hr Daily'!Print_Area</vt:lpstr>
      <vt:lpstr>'EPR 10 hr Daily'!Print_Area</vt:lpstr>
      <vt:lpstr>'EPR 6 hr Daily'!Print_Area</vt:lpstr>
      <vt:lpstr>'EPR Qtr Hr'!Print_Area</vt:lpstr>
      <vt:lpstr>'PPS HHS'!Print_Area</vt:lpstr>
      <vt:lpstr>RHS!Print_Area</vt:lpstr>
      <vt:lpstr>DSG!Print_Area_MI</vt:lpstr>
      <vt:lpstr>'PPS HHS'!Print_Area_MI</vt:lpstr>
      <vt:lpstr>RHS!Print_Area_MI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ASL Rate Sheets</dc:title>
  <dc:creator>State of Utah</dc:creator>
  <cp:lastModifiedBy>Tim Lewis</cp:lastModifiedBy>
  <cp:lastPrinted>2025-07-02T21:20:49Z</cp:lastPrinted>
  <dcterms:created xsi:type="dcterms:W3CDTF">1997-09-26T15:17:33Z</dcterms:created>
  <dcterms:modified xsi:type="dcterms:W3CDTF">2026-06-08T20:09:27Z</dcterms:modified>
</cp:coreProperties>
</file>